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285" yWindow="0" windowWidth="13710" windowHeight="13395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Town'!$A$1:$O$32</definedName>
    <definedName name="_xlnm.Print_Area" localSheetId="3">'Mardi Gras'!$A$1:$O$32</definedName>
    <definedName name="_xlnm.Print_Area" localSheetId="1">Mountaineer!$A$1:$O$26</definedName>
    <definedName name="_xlnm.Print_Area" localSheetId="0">Summary!$A$1:$O$26</definedName>
    <definedName name="_xlnm.Print_Area" localSheetId="2">Wheeling!$A$1:$O$32</definedName>
  </definedNames>
  <calcPr calcId="162913"/>
</workbook>
</file>

<file path=xl/calcChain.xml><?xml version="1.0" encoding="utf-8"?>
<calcChain xmlns="http://schemas.openxmlformats.org/spreadsheetml/2006/main">
  <c r="L20" i="1" l="1"/>
  <c r="L20" i="2"/>
  <c r="L20" i="3"/>
  <c r="L20" i="4"/>
  <c r="O20" i="1" l="1"/>
  <c r="N20" i="1"/>
  <c r="I20" i="1"/>
  <c r="D20" i="1"/>
  <c r="C20" i="1"/>
  <c r="O20" i="2"/>
  <c r="N20" i="2"/>
  <c r="C20" i="2"/>
  <c r="O20" i="3"/>
  <c r="N20" i="3"/>
  <c r="I20" i="3"/>
  <c r="F20" i="3"/>
  <c r="D20" i="3"/>
  <c r="C20" i="3"/>
  <c r="O20" i="4"/>
  <c r="N20" i="4"/>
  <c r="G20" i="4"/>
  <c r="F20" i="4"/>
  <c r="J20" i="4"/>
  <c r="I20" i="4"/>
  <c r="D20" i="4"/>
  <c r="K21" i="5" l="1"/>
  <c r="B21" i="5"/>
  <c r="O21" i="5"/>
  <c r="N21" i="5"/>
  <c r="M20" i="1"/>
  <c r="J20" i="1"/>
  <c r="H20" i="1"/>
  <c r="G20" i="1"/>
  <c r="G21" i="5" s="1"/>
  <c r="F20" i="1"/>
  <c r="E20" i="1"/>
  <c r="I20" i="2"/>
  <c r="D20" i="2"/>
  <c r="D21" i="5" s="1"/>
  <c r="M20" i="2"/>
  <c r="J20" i="2"/>
  <c r="H20" i="2"/>
  <c r="G20" i="2"/>
  <c r="F20" i="2"/>
  <c r="E20" i="2"/>
  <c r="M20" i="3"/>
  <c r="J20" i="3"/>
  <c r="H20" i="3"/>
  <c r="G20" i="3"/>
  <c r="E20" i="3"/>
  <c r="L21" i="5"/>
  <c r="H20" i="4"/>
  <c r="M20" i="4"/>
  <c r="E20" i="4"/>
  <c r="C20" i="4"/>
  <c r="I21" i="5" l="1"/>
  <c r="F21" i="5"/>
  <c r="C21" i="5"/>
  <c r="E21" i="5"/>
  <c r="H21" i="5"/>
  <c r="J21" i="5"/>
  <c r="M21" i="5"/>
  <c r="L19" i="3"/>
  <c r="L19" i="4"/>
  <c r="O19" i="1" l="1"/>
  <c r="N19" i="1"/>
  <c r="O19" i="2"/>
  <c r="N19" i="2"/>
  <c r="O19" i="3"/>
  <c r="N19" i="3"/>
  <c r="O19" i="4"/>
  <c r="N19" i="4"/>
  <c r="M19" i="1" l="1"/>
  <c r="L19" i="1"/>
  <c r="J19" i="1"/>
  <c r="I19" i="1"/>
  <c r="D19" i="1"/>
  <c r="L19" i="2"/>
  <c r="I19" i="2"/>
  <c r="D19" i="2"/>
  <c r="I19" i="3"/>
  <c r="D19" i="3"/>
  <c r="H19" i="4"/>
  <c r="K20" i="5" l="1"/>
  <c r="B20" i="5"/>
  <c r="H19" i="1"/>
  <c r="G19" i="1"/>
  <c r="F19" i="1"/>
  <c r="C19" i="1"/>
  <c r="E19" i="1"/>
  <c r="J19" i="2"/>
  <c r="M19" i="2"/>
  <c r="H19" i="2"/>
  <c r="H20" i="5" s="1"/>
  <c r="G19" i="2"/>
  <c r="F19" i="2"/>
  <c r="E19" i="2"/>
  <c r="C19" i="2"/>
  <c r="G19" i="3"/>
  <c r="C19" i="3"/>
  <c r="M19" i="3"/>
  <c r="J19" i="3"/>
  <c r="H19" i="3"/>
  <c r="F19" i="3"/>
  <c r="E19" i="3"/>
  <c r="C19" i="4"/>
  <c r="M19" i="4"/>
  <c r="J19" i="4"/>
  <c r="I19" i="4"/>
  <c r="G19" i="4"/>
  <c r="F19" i="4"/>
  <c r="E19" i="4"/>
  <c r="D19" i="4"/>
  <c r="D20" i="5" s="1"/>
  <c r="G20" i="5" l="1"/>
  <c r="C20" i="5"/>
  <c r="N20" i="5"/>
  <c r="E20" i="5"/>
  <c r="F20" i="5"/>
  <c r="O20" i="5"/>
  <c r="M20" i="5"/>
  <c r="I20" i="5"/>
  <c r="J20" i="5"/>
  <c r="L20" i="5"/>
  <c r="O18" i="1"/>
  <c r="N18" i="1"/>
  <c r="L18" i="1"/>
  <c r="I18" i="1"/>
  <c r="H18" i="1"/>
  <c r="G18" i="1"/>
  <c r="F18" i="1"/>
  <c r="D18" i="1"/>
  <c r="C18" i="1"/>
  <c r="O18" i="2"/>
  <c r="N18" i="2"/>
  <c r="L18" i="2"/>
  <c r="J18" i="2"/>
  <c r="I18" i="2"/>
  <c r="D18" i="2"/>
  <c r="O18" i="3"/>
  <c r="N18" i="3"/>
  <c r="L18" i="3"/>
  <c r="G18" i="3"/>
  <c r="C18" i="3"/>
  <c r="O18" i="4"/>
  <c r="C18" i="4"/>
  <c r="K19" i="5" l="1"/>
  <c r="B19" i="5"/>
  <c r="O19" i="5"/>
  <c r="E18" i="1"/>
  <c r="C19" i="5"/>
  <c r="M18" i="1"/>
  <c r="J18" i="1"/>
  <c r="D19" i="5"/>
  <c r="C18" i="2"/>
  <c r="M18" i="2"/>
  <c r="H18" i="2"/>
  <c r="G18" i="2"/>
  <c r="F18" i="2"/>
  <c r="E18" i="2"/>
  <c r="I18" i="3"/>
  <c r="D18" i="3"/>
  <c r="M18" i="3"/>
  <c r="J18" i="3"/>
  <c r="H18" i="3"/>
  <c r="F18" i="3"/>
  <c r="E18" i="3"/>
  <c r="N18" i="4"/>
  <c r="L18" i="4"/>
  <c r="F18" i="4"/>
  <c r="M18" i="4"/>
  <c r="J18" i="4"/>
  <c r="I18" i="4"/>
  <c r="H18" i="4"/>
  <c r="G18" i="4"/>
  <c r="E18" i="4"/>
  <c r="D18" i="4"/>
  <c r="J19" i="5" l="1"/>
  <c r="E19" i="5"/>
  <c r="G19" i="5"/>
  <c r="N19" i="5"/>
  <c r="L19" i="5"/>
  <c r="H19" i="5"/>
  <c r="M19" i="5"/>
  <c r="I19" i="5"/>
  <c r="F19" i="5"/>
  <c r="O17" i="1"/>
  <c r="N17" i="1"/>
  <c r="F17" i="1"/>
  <c r="E17" i="1"/>
  <c r="C17" i="1"/>
  <c r="O17" i="2"/>
  <c r="N17" i="2"/>
  <c r="L17" i="2"/>
  <c r="I17" i="2"/>
  <c r="D17" i="2"/>
  <c r="C17" i="2"/>
  <c r="O17" i="3"/>
  <c r="N17" i="3"/>
  <c r="L17" i="3"/>
  <c r="I17" i="3"/>
  <c r="D17" i="3"/>
  <c r="C17" i="3"/>
  <c r="O17" i="4"/>
  <c r="N17" i="4"/>
  <c r="L17" i="4"/>
  <c r="F17" i="4"/>
  <c r="K18" i="5" l="1"/>
  <c r="B18" i="5"/>
  <c r="J17" i="4"/>
  <c r="I17" i="4"/>
  <c r="H17" i="4"/>
  <c r="D17" i="4"/>
  <c r="E17" i="2"/>
  <c r="M17" i="1"/>
  <c r="L17" i="1"/>
  <c r="G17" i="1"/>
  <c r="I17" i="1"/>
  <c r="H17" i="1"/>
  <c r="D17" i="1"/>
  <c r="J17" i="1"/>
  <c r="M17" i="2"/>
  <c r="J17" i="2"/>
  <c r="I18" i="5"/>
  <c r="H17" i="2"/>
  <c r="G17" i="2"/>
  <c r="F17" i="2"/>
  <c r="M17" i="3"/>
  <c r="J17" i="3"/>
  <c r="H17" i="3"/>
  <c r="G17" i="3"/>
  <c r="F17" i="3"/>
  <c r="E17" i="3"/>
  <c r="M17" i="4"/>
  <c r="G17" i="4"/>
  <c r="E17" i="4"/>
  <c r="C17" i="4"/>
  <c r="G18" i="5" l="1"/>
  <c r="E18" i="5"/>
  <c r="O18" i="5"/>
  <c r="D18" i="5"/>
  <c r="F18" i="5"/>
  <c r="H18" i="5"/>
  <c r="L18" i="5"/>
  <c r="M18" i="5"/>
  <c r="J18" i="5"/>
  <c r="N18" i="5"/>
  <c r="C18" i="5"/>
  <c r="O15" i="1"/>
  <c r="N15" i="1"/>
  <c r="H16" i="4" l="1"/>
  <c r="O16" i="1"/>
  <c r="N16" i="1"/>
  <c r="M16" i="1"/>
  <c r="L16" i="1"/>
  <c r="I16" i="1"/>
  <c r="H16" i="1"/>
  <c r="G16" i="1"/>
  <c r="D16" i="1"/>
  <c r="O16" i="2"/>
  <c r="N16" i="2"/>
  <c r="L16" i="2"/>
  <c r="E16" i="2"/>
  <c r="C16" i="2"/>
  <c r="O16" i="3"/>
  <c r="N16" i="3"/>
  <c r="L16" i="3"/>
  <c r="I16" i="3"/>
  <c r="D16" i="3"/>
  <c r="O16" i="4"/>
  <c r="N16" i="4"/>
  <c r="J16" i="4"/>
  <c r="I16" i="4"/>
  <c r="D16" i="4"/>
  <c r="K17" i="5" l="1"/>
  <c r="B17" i="5"/>
  <c r="I17" i="5"/>
  <c r="J16" i="1"/>
  <c r="F16" i="1"/>
  <c r="E16" i="1"/>
  <c r="C16" i="1"/>
  <c r="F16" i="2"/>
  <c r="M16" i="2"/>
  <c r="J16" i="2"/>
  <c r="I16" i="2"/>
  <c r="H16" i="2"/>
  <c r="H17" i="5" s="1"/>
  <c r="G16" i="2"/>
  <c r="D16" i="2"/>
  <c r="D17" i="5" s="1"/>
  <c r="C16" i="3"/>
  <c r="M16" i="3"/>
  <c r="J16" i="3"/>
  <c r="H16" i="3"/>
  <c r="G16" i="3"/>
  <c r="F16" i="3"/>
  <c r="E16" i="3"/>
  <c r="O17" i="5"/>
  <c r="N17" i="5"/>
  <c r="C16" i="4"/>
  <c r="M16" i="4"/>
  <c r="L16" i="4"/>
  <c r="G16" i="4"/>
  <c r="F16" i="4"/>
  <c r="E16" i="4"/>
  <c r="J17" i="5" l="1"/>
  <c r="E17" i="5"/>
  <c r="G17" i="5"/>
  <c r="F17" i="5"/>
  <c r="L17" i="5"/>
  <c r="C17" i="5"/>
  <c r="M17" i="5"/>
  <c r="G15" i="1"/>
  <c r="L15" i="1"/>
  <c r="M15" i="1" l="1"/>
  <c r="E15" i="1"/>
  <c r="I15" i="1"/>
  <c r="D15" i="1"/>
  <c r="O14" i="1" l="1"/>
  <c r="N14" i="1"/>
  <c r="L14" i="1"/>
  <c r="I14" i="1"/>
  <c r="G14" i="1"/>
  <c r="F14" i="1"/>
  <c r="D14" i="1"/>
  <c r="C14" i="1"/>
  <c r="M14" i="1"/>
  <c r="H14" i="1"/>
  <c r="E14" i="1"/>
  <c r="J14" i="1"/>
  <c r="B16" i="5"/>
  <c r="K16" i="5"/>
  <c r="L16" i="5"/>
  <c r="H15" i="1"/>
  <c r="O15" i="2"/>
  <c r="N15" i="2"/>
  <c r="F15" i="2"/>
  <c r="E15" i="2"/>
  <c r="O15" i="3"/>
  <c r="O16" i="5" s="1"/>
  <c r="N15" i="3"/>
  <c r="N16" i="5" s="1"/>
  <c r="L15" i="3"/>
  <c r="C15" i="3"/>
  <c r="C16" i="5" s="1"/>
  <c r="O15" i="4"/>
  <c r="N15" i="4"/>
  <c r="I15" i="4"/>
  <c r="D15" i="4"/>
  <c r="C15" i="4"/>
  <c r="J15" i="3" l="1"/>
  <c r="H15" i="3"/>
  <c r="M15" i="3"/>
  <c r="I15" i="3"/>
  <c r="I16" i="5" s="1"/>
  <c r="G15" i="3"/>
  <c r="F15" i="3"/>
  <c r="E15" i="3"/>
  <c r="D15" i="3"/>
  <c r="D16" i="5" s="1"/>
  <c r="L15" i="2"/>
  <c r="I15" i="2"/>
  <c r="D15" i="2"/>
  <c r="M15" i="2"/>
  <c r="J15" i="2"/>
  <c r="H15" i="2"/>
  <c r="G15" i="2"/>
  <c r="C15" i="2"/>
  <c r="F15" i="1"/>
  <c r="L15" i="4"/>
  <c r="M15" i="4"/>
  <c r="J15" i="4"/>
  <c r="H15" i="4"/>
  <c r="G15" i="4"/>
  <c r="F15" i="4"/>
  <c r="E15" i="4"/>
  <c r="E16" i="5" l="1"/>
  <c r="G16" i="5"/>
  <c r="H16" i="5"/>
  <c r="F16" i="5"/>
  <c r="L14" i="3"/>
  <c r="J14" i="3"/>
  <c r="O14" i="2" l="1"/>
  <c r="N14" i="2"/>
  <c r="L14" i="2"/>
  <c r="I14" i="2"/>
  <c r="F14" i="2"/>
  <c r="E14" i="2"/>
  <c r="D14" i="2"/>
  <c r="O14" i="3"/>
  <c r="N14" i="3"/>
  <c r="H14" i="3"/>
  <c r="C14" i="3"/>
  <c r="O14" i="4"/>
  <c r="N14" i="4"/>
  <c r="L14" i="4"/>
  <c r="I14" i="4"/>
  <c r="D14" i="4"/>
  <c r="C14" i="4"/>
  <c r="K15" i="5" l="1"/>
  <c r="B15" i="5"/>
  <c r="L15" i="5"/>
  <c r="C15" i="1"/>
  <c r="C15" i="5" s="1"/>
  <c r="M16" i="5"/>
  <c r="J15" i="1"/>
  <c r="J16" i="5" s="1"/>
  <c r="O15" i="5"/>
  <c r="J14" i="2"/>
  <c r="M14" i="2"/>
  <c r="H14" i="2"/>
  <c r="G14" i="2"/>
  <c r="C14" i="2"/>
  <c r="I14" i="3"/>
  <c r="F14" i="3"/>
  <c r="D14" i="3"/>
  <c r="D15" i="5" s="1"/>
  <c r="M14" i="3"/>
  <c r="G14" i="3"/>
  <c r="E14" i="3"/>
  <c r="N15" i="5"/>
  <c r="E14" i="4"/>
  <c r="M14" i="4"/>
  <c r="J14" i="4"/>
  <c r="H14" i="4"/>
  <c r="G14" i="4"/>
  <c r="F14" i="4"/>
  <c r="H15" i="5" l="1"/>
  <c r="G15" i="5"/>
  <c r="I15" i="5"/>
  <c r="J15" i="5"/>
  <c r="F15" i="5"/>
  <c r="E15" i="5"/>
  <c r="M15" i="5"/>
  <c r="O13" i="1"/>
  <c r="N13" i="1"/>
  <c r="L13" i="1"/>
  <c r="I13" i="1"/>
  <c r="H13" i="1"/>
  <c r="D13" i="1"/>
  <c r="C13" i="1"/>
  <c r="O13" i="2"/>
  <c r="N13" i="2"/>
  <c r="J13" i="2"/>
  <c r="O13" i="3"/>
  <c r="N13" i="3"/>
  <c r="L13" i="3"/>
  <c r="I13" i="3"/>
  <c r="F13" i="3"/>
  <c r="D13" i="3"/>
  <c r="C13" i="3"/>
  <c r="O13" i="4"/>
  <c r="N13" i="4"/>
  <c r="E13" i="4"/>
  <c r="K14" i="5" l="1"/>
  <c r="C14" i="5"/>
  <c r="B14" i="5"/>
  <c r="J13" i="4"/>
  <c r="C13" i="4"/>
  <c r="I13" i="2"/>
  <c r="F13" i="2"/>
  <c r="D13" i="2"/>
  <c r="C13" i="2"/>
  <c r="O14" i="5"/>
  <c r="N14" i="5"/>
  <c r="E13" i="1"/>
  <c r="D14" i="5"/>
  <c r="M13" i="1"/>
  <c r="J13" i="1"/>
  <c r="G13" i="1"/>
  <c r="F13" i="1"/>
  <c r="M13" i="2"/>
  <c r="L13" i="2"/>
  <c r="H13" i="2"/>
  <c r="G13" i="2"/>
  <c r="E13" i="2"/>
  <c r="M13" i="3"/>
  <c r="J13" i="3"/>
  <c r="H13" i="3"/>
  <c r="G13" i="3"/>
  <c r="E13" i="3"/>
  <c r="M13" i="4"/>
  <c r="L13" i="4"/>
  <c r="I13" i="4"/>
  <c r="H13" i="4"/>
  <c r="G13" i="4"/>
  <c r="F13" i="4"/>
  <c r="D13" i="4"/>
  <c r="J14" i="5" l="1"/>
  <c r="H14" i="5"/>
  <c r="E14" i="5"/>
  <c r="M14" i="5"/>
  <c r="I14" i="5"/>
  <c r="L14" i="5"/>
  <c r="F14" i="5"/>
  <c r="G14" i="5"/>
  <c r="O12" i="1"/>
  <c r="N12" i="1"/>
  <c r="L12" i="1"/>
  <c r="I12" i="1"/>
  <c r="H12" i="1"/>
  <c r="E12" i="1"/>
  <c r="D12" i="1"/>
  <c r="C12" i="1"/>
  <c r="O12" i="2"/>
  <c r="N12" i="2"/>
  <c r="I12" i="2"/>
  <c r="F12" i="2"/>
  <c r="D12" i="2"/>
  <c r="C12" i="2"/>
  <c r="O12" i="3"/>
  <c r="N12" i="3"/>
  <c r="L12" i="3"/>
  <c r="C12" i="3"/>
  <c r="O12" i="4" l="1"/>
  <c r="N12" i="4"/>
  <c r="J12" i="4"/>
  <c r="E12" i="4"/>
  <c r="C12" i="4"/>
  <c r="K13" i="5" l="1"/>
  <c r="B13" i="5"/>
  <c r="O13" i="5"/>
  <c r="N13" i="5"/>
  <c r="M12" i="1"/>
  <c r="J12" i="1"/>
  <c r="G12" i="1"/>
  <c r="F12" i="1"/>
  <c r="L12" i="2"/>
  <c r="G12" i="2"/>
  <c r="M12" i="2"/>
  <c r="J12" i="2"/>
  <c r="H12" i="2"/>
  <c r="E12" i="2"/>
  <c r="C13" i="5"/>
  <c r="I12" i="3"/>
  <c r="E12" i="3"/>
  <c r="D12" i="3"/>
  <c r="M12" i="3"/>
  <c r="J12" i="3"/>
  <c r="H12" i="3"/>
  <c r="G12" i="3"/>
  <c r="F12" i="3"/>
  <c r="M12" i="4"/>
  <c r="L12" i="4"/>
  <c r="L13" i="5" s="1"/>
  <c r="I12" i="4"/>
  <c r="I13" i="5" s="1"/>
  <c r="G12" i="4"/>
  <c r="D12" i="4"/>
  <c r="H12" i="4"/>
  <c r="F12" i="4"/>
  <c r="J13" i="5" l="1"/>
  <c r="E13" i="5"/>
  <c r="D13" i="5"/>
  <c r="H13" i="5"/>
  <c r="M13" i="5"/>
  <c r="F13" i="5"/>
  <c r="G13" i="5"/>
  <c r="O11" i="1"/>
  <c r="N11" i="1"/>
  <c r="L11" i="1"/>
  <c r="O11" i="2"/>
  <c r="N11" i="2"/>
  <c r="L11" i="2"/>
  <c r="O11" i="3"/>
  <c r="N11" i="3"/>
  <c r="L11" i="3"/>
  <c r="O11" i="4"/>
  <c r="N11" i="4"/>
  <c r="L11" i="4"/>
  <c r="I11" i="1" l="1"/>
  <c r="E11" i="1"/>
  <c r="D11" i="1"/>
  <c r="C11" i="1"/>
  <c r="G11" i="2"/>
  <c r="I11" i="3"/>
  <c r="E11" i="3"/>
  <c r="D11" i="3"/>
  <c r="C11" i="3"/>
  <c r="M11" i="4"/>
  <c r="I11" i="4"/>
  <c r="G11" i="4"/>
  <c r="E11" i="4"/>
  <c r="D11" i="4"/>
  <c r="K12" i="5" l="1"/>
  <c r="B12" i="5"/>
  <c r="M11" i="1"/>
  <c r="J11" i="1"/>
  <c r="H11" i="1"/>
  <c r="G11" i="1"/>
  <c r="F11" i="1"/>
  <c r="F11" i="2"/>
  <c r="C11" i="2"/>
  <c r="M11" i="2"/>
  <c r="J11" i="2"/>
  <c r="I11" i="2"/>
  <c r="H11" i="2"/>
  <c r="E11" i="2"/>
  <c r="D11" i="2"/>
  <c r="M11" i="3"/>
  <c r="J11" i="3"/>
  <c r="H11" i="3"/>
  <c r="G11" i="3"/>
  <c r="F11" i="3"/>
  <c r="C11" i="4"/>
  <c r="J11" i="4"/>
  <c r="H11" i="4"/>
  <c r="F11" i="4"/>
  <c r="D12" i="5"/>
  <c r="J12" i="5" l="1"/>
  <c r="E12" i="5"/>
  <c r="L12" i="5"/>
  <c r="N12" i="5"/>
  <c r="O12" i="5"/>
  <c r="I12" i="5"/>
  <c r="C12" i="5"/>
  <c r="F12" i="5"/>
  <c r="G12" i="5"/>
  <c r="H12" i="5"/>
  <c r="M12" i="5"/>
  <c r="O10" i="1"/>
  <c r="N10" i="1"/>
  <c r="L10" i="1"/>
  <c r="O10" i="2"/>
  <c r="N10" i="2"/>
  <c r="L10" i="2"/>
  <c r="O10" i="3"/>
  <c r="N10" i="3"/>
  <c r="L10" i="3"/>
  <c r="O10" i="4"/>
  <c r="N10" i="4"/>
  <c r="I10" i="1" l="1"/>
  <c r="D10" i="1"/>
  <c r="C10" i="1"/>
  <c r="F10" i="2"/>
  <c r="C10" i="2"/>
  <c r="I10" i="3"/>
  <c r="E10" i="3"/>
  <c r="D10" i="3"/>
  <c r="C10" i="3"/>
  <c r="L10" i="4"/>
  <c r="C10" i="4"/>
  <c r="H10" i="1" l="1"/>
  <c r="J10" i="1"/>
  <c r="M10" i="1"/>
  <c r="G10" i="1"/>
  <c r="F10" i="1"/>
  <c r="E10" i="1"/>
  <c r="M10" i="2"/>
  <c r="J10" i="2"/>
  <c r="I10" i="2"/>
  <c r="H10" i="2"/>
  <c r="G10" i="2"/>
  <c r="E10" i="2"/>
  <c r="D10" i="2"/>
  <c r="M10" i="3"/>
  <c r="J10" i="3"/>
  <c r="H10" i="3"/>
  <c r="G10" i="3"/>
  <c r="F10" i="3"/>
  <c r="I10" i="4"/>
  <c r="D10" i="4"/>
  <c r="M10" i="4"/>
  <c r="J10" i="4"/>
  <c r="H10" i="4"/>
  <c r="G10" i="4"/>
  <c r="F10" i="4"/>
  <c r="E10" i="4"/>
  <c r="K11" i="5"/>
  <c r="B11" i="5"/>
  <c r="H11" i="5" l="1"/>
  <c r="E11" i="5"/>
  <c r="G11" i="5"/>
  <c r="C11" i="5"/>
  <c r="D11" i="5"/>
  <c r="F11" i="5"/>
  <c r="N11" i="5"/>
  <c r="J11" i="5"/>
  <c r="I11" i="5"/>
  <c r="L11" i="5"/>
  <c r="O11" i="5"/>
  <c r="M11" i="5"/>
  <c r="O9" i="1"/>
  <c r="N9" i="1"/>
  <c r="O9" i="2"/>
  <c r="N9" i="2"/>
  <c r="O9" i="3"/>
  <c r="N9" i="3"/>
  <c r="O9" i="4"/>
  <c r="N9" i="4"/>
  <c r="L9" i="1" l="1"/>
  <c r="J9" i="1"/>
  <c r="I9" i="1"/>
  <c r="H9" i="1"/>
  <c r="D9" i="1"/>
  <c r="L9" i="2"/>
  <c r="F9" i="2"/>
  <c r="C9" i="2"/>
  <c r="L9" i="3"/>
  <c r="E9" i="3"/>
  <c r="C9" i="3"/>
  <c r="L9" i="4"/>
  <c r="I9" i="4"/>
  <c r="D9" i="4"/>
  <c r="B10" i="5" l="1"/>
  <c r="K10" i="5"/>
  <c r="C9" i="4"/>
  <c r="E9" i="4"/>
  <c r="F9" i="4"/>
  <c r="G9" i="4"/>
  <c r="H9" i="4"/>
  <c r="J9" i="4"/>
  <c r="M9" i="4"/>
  <c r="O10" i="5" l="1"/>
  <c r="N10" i="5"/>
  <c r="M9" i="1"/>
  <c r="L10" i="5"/>
  <c r="G9" i="1"/>
  <c r="F9" i="1"/>
  <c r="E9" i="1"/>
  <c r="C9" i="1"/>
  <c r="C10" i="5" s="1"/>
  <c r="M9" i="2"/>
  <c r="J9" i="2"/>
  <c r="I9" i="2"/>
  <c r="H9" i="2"/>
  <c r="G9" i="2"/>
  <c r="E9" i="2"/>
  <c r="D9" i="2"/>
  <c r="M9" i="3"/>
  <c r="J9" i="3"/>
  <c r="I9" i="3"/>
  <c r="H9" i="3"/>
  <c r="G9" i="3"/>
  <c r="F9" i="3"/>
  <c r="D9" i="3"/>
  <c r="G10" i="5" l="1"/>
  <c r="E10" i="5"/>
  <c r="D10" i="5"/>
  <c r="J10" i="5"/>
  <c r="F10" i="5"/>
  <c r="M10" i="5"/>
  <c r="H10" i="5"/>
  <c r="I10" i="5"/>
  <c r="K22" i="1"/>
  <c r="B22" i="1"/>
  <c r="O22" i="1"/>
  <c r="N22" i="1"/>
  <c r="M22" i="1"/>
  <c r="L22" i="1"/>
  <c r="J22" i="1"/>
  <c r="I22" i="1"/>
  <c r="H22" i="1"/>
  <c r="G22" i="1"/>
  <c r="F22" i="1"/>
  <c r="E22" i="1"/>
  <c r="D22" i="1"/>
  <c r="C22" i="1"/>
  <c r="K22" i="2"/>
  <c r="H22" i="2"/>
  <c r="B22" i="2"/>
  <c r="O22" i="2"/>
  <c r="N22" i="2"/>
  <c r="M22" i="2"/>
  <c r="L22" i="2"/>
  <c r="J22" i="2"/>
  <c r="I22" i="2"/>
  <c r="G22" i="2"/>
  <c r="F22" i="2"/>
  <c r="E22" i="2"/>
  <c r="D22" i="2"/>
  <c r="C22" i="2"/>
  <c r="K22" i="3"/>
  <c r="B22" i="3"/>
  <c r="O22" i="3"/>
  <c r="N22" i="3"/>
  <c r="M22" i="3"/>
  <c r="L22" i="3"/>
  <c r="J22" i="3"/>
  <c r="I22" i="3"/>
  <c r="H22" i="3"/>
  <c r="G22" i="3"/>
  <c r="F22" i="3"/>
  <c r="E22" i="3"/>
  <c r="C22" i="3"/>
  <c r="D22" i="3" l="1"/>
  <c r="K22" i="4"/>
  <c r="K23" i="5" s="1"/>
  <c r="B22" i="4"/>
  <c r="O22" i="4"/>
  <c r="N22" i="4"/>
  <c r="L22" i="4"/>
  <c r="I22" i="4"/>
  <c r="E22" i="4"/>
  <c r="D22" i="4"/>
  <c r="C22" i="4"/>
  <c r="D23" i="5" l="1"/>
  <c r="G22" i="4"/>
  <c r="H22" i="4"/>
  <c r="M22" i="4"/>
  <c r="F22" i="4"/>
  <c r="J22" i="4"/>
  <c r="J23" i="5"/>
  <c r="C23" i="5"/>
  <c r="O23" i="5"/>
  <c r="N23" i="5"/>
  <c r="I23" i="5"/>
  <c r="E23" i="5"/>
  <c r="L23" i="5"/>
  <c r="B23" i="5"/>
  <c r="H23" i="5" l="1"/>
  <c r="G23" i="5"/>
  <c r="F23" i="5"/>
  <c r="M23" i="5"/>
</calcChain>
</file>

<file path=xl/sharedStrings.xml><?xml version="1.0" encoding="utf-8"?>
<sst xmlns="http://schemas.openxmlformats.org/spreadsheetml/2006/main" count="160" uniqueCount="43">
  <si>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</si>
  <si>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</si>
  <si>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</si>
  <si>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</si>
  <si>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</si>
  <si>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</si>
  <si>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</si>
  <si>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</si>
  <si>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</si>
  <si>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</si>
  <si>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</si>
  <si>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</si>
  <si>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</si>
  <si>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</si>
  <si>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</si>
  <si>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</si>
  <si>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</si>
  <si>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</si>
  <si>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</si>
  <si>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</si>
  <si>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</si>
  <si>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</si>
  <si>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</si>
  <si>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July 2020</t>
  </si>
  <si>
    <t>FISCAL YEAR 2021</t>
  </si>
  <si>
    <t>FY 2020</t>
  </si>
  <si>
    <t>TABLE GAMES DISTRIBUTION SUMMARY</t>
  </si>
  <si>
    <t>August 2020</t>
  </si>
  <si>
    <t># Tables : 31</t>
  </si>
  <si>
    <t>September 2020</t>
  </si>
  <si>
    <t>October 2020</t>
  </si>
  <si>
    <t>November 2020</t>
  </si>
  <si>
    <t>December 2020</t>
  </si>
  <si>
    <t>January 2021</t>
  </si>
  <si>
    <t>February 2021</t>
  </si>
  <si>
    <t>March 2021</t>
  </si>
  <si>
    <t>April 2021</t>
  </si>
  <si>
    <t># Tables : 33</t>
  </si>
  <si>
    <t>May 2021</t>
  </si>
  <si>
    <t># Tables : 76</t>
  </si>
  <si>
    <t># Tables : 26</t>
  </si>
  <si>
    <t>FOR THE MONTH ENDING JUNE 30, 2021</t>
  </si>
  <si>
    <t>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</si>
</sst>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36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44" fontId="19" fillId="0" borderId="0" xfId="1" applyFont="1"/>
    <xf numFmtId="44" fontId="19" fillId="0" borderId="2" xfId="0" applyNumberFormat="1" applyFont="1" applyBorder="1"/>
    <xf numFmtId="0" fontId="21" fillId="0" borderId="0" xfId="0" applyFont="1"/>
    <xf numFmtId="44" fontId="19" fillId="0" borderId="0" xfId="1" applyNumberFormat="1" applyFont="1"/>
    <xf numFmtId="0" fontId="16" fillId="0" borderId="0" xfId="0" applyFont="1"/>
    <xf numFmtId="0" fontId="15" fillId="0" borderId="0" xfId="0" quotePrefix="1" applyFont="1"/>
    <xf numFmtId="0" fontId="15" fillId="0" borderId="0" xfId="0" applyFont="1"/>
    <xf numFmtId="0" fontId="14" fillId="0" borderId="0" xfId="0" quotePrefix="1" applyFont="1"/>
    <xf numFmtId="0" fontId="14" fillId="0" borderId="0" xfId="0" applyFont="1"/>
    <xf numFmtId="0" fontId="13" fillId="0" borderId="0" xfId="0" quotePrefix="1" applyFont="1"/>
    <xf numFmtId="0" fontId="12" fillId="0" borderId="0" xfId="0" quotePrefix="1" applyFont="1"/>
    <xf numFmtId="0" fontId="11" fillId="0" borderId="0" xfId="0" quotePrefix="1" applyFont="1"/>
    <xf numFmtId="0" fontId="10" fillId="0" borderId="0" xfId="0" quotePrefix="1" applyFont="1"/>
    <xf numFmtId="44" fontId="19" fillId="0" borderId="0" xfId="1" applyFont="1" applyFill="1"/>
    <xf numFmtId="0" fontId="19" fillId="0" borderId="0" xfId="0" applyFont="1" applyFill="1"/>
    <xf numFmtId="0" fontId="9" fillId="0" borderId="0" xfId="0" quotePrefix="1" applyFont="1"/>
    <xf numFmtId="0" fontId="8" fillId="0" borderId="0" xfId="0" quotePrefix="1" applyFont="1"/>
    <xf numFmtId="0" fontId="7" fillId="0" borderId="0" xfId="0" applyFont="1" applyFill="1"/>
    <xf numFmtId="0" fontId="7" fillId="0" borderId="0" xfId="0" quotePrefix="1" applyFont="1"/>
    <xf numFmtId="0" fontId="6" fillId="0" borderId="0" xfId="0" quotePrefix="1" applyFont="1"/>
    <xf numFmtId="0" fontId="5" fillId="0" borderId="0" xfId="0" quotePrefix="1" applyFont="1"/>
    <xf numFmtId="0" fontId="4" fillId="0" borderId="0" xfId="0" applyFont="1"/>
    <xf numFmtId="0" fontId="3" fillId="0" borderId="0" xfId="0" quotePrefix="1" applyFont="1"/>
    <xf numFmtId="0" fontId="2" fillId="0" borderId="0" xfId="0" applyFont="1"/>
    <xf numFmtId="0" fontId="1" fillId="0" borderId="0" xfId="0" quotePrefix="1" applyFont="1"/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1.5703125" style="1" bestFit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" customHeight="1" x14ac:dyDescent="0.25">
      <c r="A2" s="33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5" customHeight="1" x14ac:dyDescent="0.25">
      <c r="A3" s="33" t="s">
        <v>41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5" customHeight="1" x14ac:dyDescent="0.25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</row>
    <row r="9" spans="1:15" x14ac:dyDescent="0.25">
      <c r="B9" s="5"/>
      <c r="C9" s="6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2" t="s">
        <v>23</v>
      </c>
      <c r="B10" s="7">
        <f>SUM('Mountaineer:Charles Town'!B9)</f>
        <v>5165760.2699999996</v>
      </c>
      <c r="C10" s="7">
        <f>SUM('Mountaineer:Charles Town'!C9)</f>
        <v>1808016.1</v>
      </c>
      <c r="D10" s="7">
        <f>SUM('Mountaineer:Charles Town'!D9)</f>
        <v>154972.79</v>
      </c>
      <c r="E10" s="7">
        <f>SUM('Mountaineer:Charles Town'!E9)</f>
        <v>23245.91</v>
      </c>
      <c r="F10" s="7">
        <f>SUM('Mountaineer:Charles Town'!F9)</f>
        <v>116229.62</v>
      </c>
      <c r="G10" s="7">
        <f>SUM('Mountaineer:Charles Town'!G9)</f>
        <v>92983.7</v>
      </c>
      <c r="H10" s="7">
        <f>SUM('Mountaineer:Charles Town'!H9)</f>
        <v>103315.2</v>
      </c>
      <c r="I10" s="7">
        <f>SUM('Mountaineer:Charles Town'!I9)</f>
        <v>154972.79</v>
      </c>
      <c r="J10" s="7">
        <f>SUM('Mountaineer:Charles Town'!J9)</f>
        <v>25828.800000000003</v>
      </c>
      <c r="K10" s="7">
        <f>SUM('Mountaineer:Charles Town'!K9)</f>
        <v>629.82000000000005</v>
      </c>
      <c r="L10" s="7">
        <f>SUM('Mountaineer:Charles Town'!L9)</f>
        <v>864193.8</v>
      </c>
      <c r="M10" s="7">
        <f>SUM('Mountaineer:Charles Town'!M9)</f>
        <v>45483.89</v>
      </c>
      <c r="N10" s="7">
        <f>SUM('Mountaineer:Charles Town'!N9)</f>
        <v>113709.6</v>
      </c>
      <c r="O10" s="7">
        <f>SUM('Mountaineer:Charles Town'!O9)</f>
        <v>113710.45</v>
      </c>
    </row>
    <row r="11" spans="1:15" ht="15" customHeight="1" x14ac:dyDescent="0.25">
      <c r="A11" s="14" t="s">
        <v>27</v>
      </c>
      <c r="B11" s="7">
        <f>SUM('Mountaineer:Charles Town'!B10)</f>
        <v>5851480.5600000005</v>
      </c>
      <c r="C11" s="7">
        <f>SUM('Mountaineer:Charles Town'!C10)</f>
        <v>2048018.2</v>
      </c>
      <c r="D11" s="7">
        <f>SUM('Mountaineer:Charles Town'!D10)</f>
        <v>175544.44</v>
      </c>
      <c r="E11" s="7">
        <f>SUM('Mountaineer:Charles Town'!E10)</f>
        <v>26331.65</v>
      </c>
      <c r="F11" s="7">
        <f>SUM('Mountaineer:Charles Town'!F10)</f>
        <v>131658.29999999999</v>
      </c>
      <c r="G11" s="7">
        <f>SUM('Mountaineer:Charles Town'!G10)</f>
        <v>105326.65</v>
      </c>
      <c r="H11" s="7">
        <f>SUM('Mountaineer:Charles Town'!H10)</f>
        <v>117029.61</v>
      </c>
      <c r="I11" s="7">
        <f>SUM('Mountaineer:Charles Town'!I10)</f>
        <v>175544.44</v>
      </c>
      <c r="J11" s="7">
        <f>SUM('Mountaineer:Charles Town'!J10)</f>
        <v>29257.4</v>
      </c>
      <c r="K11" s="7">
        <f>SUM('Mountaineer:Charles Town'!K10)</f>
        <v>547.89</v>
      </c>
      <c r="L11" s="7">
        <f>SUM('Mountaineer:Charles Town'!L10)</f>
        <v>978783.91</v>
      </c>
      <c r="M11" s="7">
        <f>SUM('Mountaineer:Charles Town'!M10)</f>
        <v>51514.95</v>
      </c>
      <c r="N11" s="7">
        <f>SUM('Mountaineer:Charles Town'!N10)</f>
        <v>128787.75</v>
      </c>
      <c r="O11" s="7">
        <f>SUM('Mountaineer:Charles Town'!O10)</f>
        <v>128787.26000000001</v>
      </c>
    </row>
    <row r="12" spans="1:15" ht="15" customHeight="1" x14ac:dyDescent="0.25">
      <c r="A12" s="16" t="s">
        <v>29</v>
      </c>
      <c r="B12" s="7">
        <f>SUM('Mountaineer:Charles Town'!B11)</f>
        <v>5623329.5899999999</v>
      </c>
      <c r="C12" s="7">
        <f>SUM('Mountaineer:Charles Town'!C11)</f>
        <v>1968165.35</v>
      </c>
      <c r="D12" s="7">
        <f>SUM('Mountaineer:Charles Town'!D11)</f>
        <v>168699.89</v>
      </c>
      <c r="E12" s="7">
        <f>SUM('Mountaineer:Charles Town'!E11)</f>
        <v>25304.989999999998</v>
      </c>
      <c r="F12" s="7">
        <f>SUM('Mountaineer:Charles Town'!F11)</f>
        <v>126524.91</v>
      </c>
      <c r="G12" s="7">
        <f>SUM('Mountaineer:Charles Town'!G11)</f>
        <v>101219.95</v>
      </c>
      <c r="H12" s="7">
        <f>SUM('Mountaineer:Charles Town'!H11)</f>
        <v>112466.61</v>
      </c>
      <c r="I12" s="7">
        <f>SUM('Mountaineer:Charles Town'!I11)</f>
        <v>168699.89</v>
      </c>
      <c r="J12" s="7">
        <f>SUM('Mountaineer:Charles Town'!J11)</f>
        <v>28116.639999999999</v>
      </c>
      <c r="K12" s="7">
        <f>SUM('Mountaineer:Charles Town'!K11)</f>
        <v>444.25</v>
      </c>
      <c r="L12" s="7">
        <f>SUM('Mountaineer:Charles Town'!L11)</f>
        <v>940558.30999999994</v>
      </c>
      <c r="M12" s="7">
        <f>SUM('Mountaineer:Charles Town'!M11)</f>
        <v>49503.07</v>
      </c>
      <c r="N12" s="7">
        <f>SUM('Mountaineer:Charles Town'!N11)</f>
        <v>123757.62000000001</v>
      </c>
      <c r="O12" s="7">
        <f>SUM('Mountaineer:Charles Town'!O11)</f>
        <v>123756.92000000001</v>
      </c>
    </row>
    <row r="13" spans="1:15" ht="15" customHeight="1" x14ac:dyDescent="0.25">
      <c r="A13" s="17" t="s">
        <v>30</v>
      </c>
      <c r="B13" s="7">
        <f>SUM('Mountaineer:Charles Town'!B12)</f>
        <v>6043349.8499999996</v>
      </c>
      <c r="C13" s="7">
        <f>SUM('Mountaineer:Charles Town'!C12)</f>
        <v>2115172.42</v>
      </c>
      <c r="D13" s="7">
        <f>SUM('Mountaineer:Charles Town'!D12)</f>
        <v>181300.5</v>
      </c>
      <c r="E13" s="7">
        <f>SUM('Mountaineer:Charles Town'!E12)</f>
        <v>27195.09</v>
      </c>
      <c r="F13" s="7">
        <f>SUM('Mountaineer:Charles Town'!F12)</f>
        <v>135975.38</v>
      </c>
      <c r="G13" s="7">
        <f>SUM('Mountaineer:Charles Town'!G12)</f>
        <v>108780.3</v>
      </c>
      <c r="H13" s="7">
        <f>SUM('Mountaineer:Charles Town'!H12)</f>
        <v>120867.01</v>
      </c>
      <c r="I13" s="7">
        <f>SUM('Mountaineer:Charles Town'!I12)</f>
        <v>181300.5</v>
      </c>
      <c r="J13" s="7">
        <f>SUM('Mountaineer:Charles Town'!J12)</f>
        <v>30216.76</v>
      </c>
      <c r="K13" s="7">
        <f>SUM('Mountaineer:Charles Town'!K12)</f>
        <v>289.68</v>
      </c>
      <c r="L13" s="7">
        <f>SUM('Mountaineer:Charles Town'!L12)</f>
        <v>1010668.1699999999</v>
      </c>
      <c r="M13" s="7">
        <f>SUM('Mountaineer:Charles Town'!M12)</f>
        <v>53193.070000000007</v>
      </c>
      <c r="N13" s="7">
        <f>SUM('Mountaineer:Charles Town'!N12)</f>
        <v>132982.5</v>
      </c>
      <c r="O13" s="7">
        <f>SUM('Mountaineer:Charles Town'!O12)</f>
        <v>132983.26999999999</v>
      </c>
    </row>
    <row r="14" spans="1:15" ht="15" customHeight="1" x14ac:dyDescent="0.25">
      <c r="A14" s="18" t="s">
        <v>31</v>
      </c>
      <c r="B14" s="7">
        <f>SUM('Mountaineer:Charles Town'!B13)</f>
        <v>5645775.5800000001</v>
      </c>
      <c r="C14" s="7">
        <f>SUM('Mountaineer:Charles Town'!C13)</f>
        <v>1976021.4500000002</v>
      </c>
      <c r="D14" s="7">
        <f>SUM('Mountaineer:Charles Town'!D13)</f>
        <v>169373.26</v>
      </c>
      <c r="E14" s="7">
        <f>SUM('Mountaineer:Charles Town'!E13)</f>
        <v>25406</v>
      </c>
      <c r="F14" s="7">
        <f>SUM('Mountaineer:Charles Town'!F13)</f>
        <v>127029.94</v>
      </c>
      <c r="G14" s="7">
        <f>SUM('Mountaineer:Charles Town'!G13)</f>
        <v>101623.95999999999</v>
      </c>
      <c r="H14" s="7">
        <f>SUM('Mountaineer:Charles Town'!H13)</f>
        <v>112915.52</v>
      </c>
      <c r="I14" s="7">
        <f>SUM('Mountaineer:Charles Town'!I13)</f>
        <v>169373.26</v>
      </c>
      <c r="J14" s="7">
        <f>SUM('Mountaineer:Charles Town'!J13)</f>
        <v>28228.879999999997</v>
      </c>
      <c r="K14" s="7">
        <f>SUM('Mountaineer:Charles Town'!K13)</f>
        <v>225.25</v>
      </c>
      <c r="L14" s="7">
        <f>SUM('Mountaineer:Charles Town'!L13)</f>
        <v>944144.87</v>
      </c>
      <c r="M14" s="7">
        <f>SUM('Mountaineer:Charles Town'!M13)</f>
        <v>49691.83</v>
      </c>
      <c r="N14" s="7">
        <f>SUM('Mountaineer:Charles Town'!N13)</f>
        <v>124229.37</v>
      </c>
      <c r="O14" s="7">
        <f>SUM('Mountaineer:Charles Town'!O13)</f>
        <v>124229.90999999999</v>
      </c>
    </row>
    <row r="15" spans="1:15" ht="15" customHeight="1" x14ac:dyDescent="0.25">
      <c r="A15" s="19" t="s">
        <v>32</v>
      </c>
      <c r="B15" s="7">
        <f>SUM('Mountaineer:Charles Town'!B14)</f>
        <v>5950530.5899999999</v>
      </c>
      <c r="C15" s="7">
        <f>SUM('Mountaineer:Charles Town'!C14)</f>
        <v>2082685.7400000002</v>
      </c>
      <c r="D15" s="7">
        <f>SUM('Mountaineer:Charles Town'!D14)</f>
        <v>178515.91999999998</v>
      </c>
      <c r="E15" s="7">
        <f>SUM('Mountaineer:Charles Town'!E14)</f>
        <v>26777.39</v>
      </c>
      <c r="F15" s="7">
        <f>SUM('Mountaineer:Charles Town'!F14)</f>
        <v>133886.94</v>
      </c>
      <c r="G15" s="7">
        <f>SUM('Mountaineer:Charles Town'!G14)</f>
        <v>107109.54000000001</v>
      </c>
      <c r="H15" s="7">
        <f>SUM('Mountaineer:Charles Town'!H14)</f>
        <v>119010.6</v>
      </c>
      <c r="I15" s="20">
        <f>SUM('Mountaineer:Charles Town'!I14)</f>
        <v>178515.91999999998</v>
      </c>
      <c r="J15" s="20">
        <f>SUM('Mountaineer:Charles Town'!J14)</f>
        <v>29752.66</v>
      </c>
      <c r="K15" s="7">
        <f>SUM('Mountaineer:Charles Town'!K14)</f>
        <v>199.82</v>
      </c>
      <c r="L15" s="20">
        <f>SUM('Mountaineer:Charles Town'!L14)</f>
        <v>995080.6</v>
      </c>
      <c r="M15" s="7">
        <f>SUM('Mountaineer:Charles Town'!M14)</f>
        <v>52372.67</v>
      </c>
      <c r="N15" s="7">
        <f>SUM('Mountaineer:Charles Town'!N14)</f>
        <v>130931.79</v>
      </c>
      <c r="O15" s="7">
        <f>SUM('Mountaineer:Charles Town'!O14)</f>
        <v>130930.94</v>
      </c>
    </row>
    <row r="16" spans="1:15" ht="15" customHeight="1" x14ac:dyDescent="0.25">
      <c r="A16" s="22" t="s">
        <v>33</v>
      </c>
      <c r="B16" s="7">
        <f>SUM('Mountaineer:Charles Town'!B15)</f>
        <v>7065870.1200000001</v>
      </c>
      <c r="C16" s="7">
        <f>SUM('Mountaineer:Charles Town'!C15)</f>
        <v>2473054.5300000003</v>
      </c>
      <c r="D16" s="7">
        <f>SUM('Mountaineer:Charles Town'!D15)</f>
        <v>211976.12</v>
      </c>
      <c r="E16" s="7">
        <f>SUM('Mountaineer:Charles Town'!E15)</f>
        <v>31796.41</v>
      </c>
      <c r="F16" s="7">
        <f>SUM('Mountaineer:Charles Town'!F15)</f>
        <v>158982.09</v>
      </c>
      <c r="G16" s="7">
        <f>SUM('Mountaineer:Charles Town'!G15)</f>
        <v>127185.68</v>
      </c>
      <c r="H16" s="7">
        <f>SUM('Mountaineer:Charles Town'!H15)</f>
        <v>141317.41999999998</v>
      </c>
      <c r="I16" s="20">
        <f>SUM('Mountaineer:Charles Town'!I15)</f>
        <v>211976.12</v>
      </c>
      <c r="J16" s="20">
        <f>SUM('Mountaineer:Charles Town'!J15)</f>
        <v>35329.360000000001</v>
      </c>
      <c r="K16" s="7">
        <f>SUM('Mountaineer:Charles Town'!K15)</f>
        <v>210.83</v>
      </c>
      <c r="L16" s="20">
        <f>SUM('Mountaineer:Charles Town'!L15)</f>
        <v>1181573.6499999999</v>
      </c>
      <c r="M16" s="7">
        <f>SUM('Mountaineer:Charles Town'!M15)</f>
        <v>62188.09</v>
      </c>
      <c r="N16" s="7">
        <f>SUM('Mountaineer:Charles Town'!N15)</f>
        <v>155470.43</v>
      </c>
      <c r="O16" s="7">
        <f>SUM('Mountaineer:Charles Town'!O15)</f>
        <v>155469.57</v>
      </c>
    </row>
    <row r="17" spans="1:15" ht="15" customHeight="1" x14ac:dyDescent="0.25">
      <c r="A17" s="25" t="s">
        <v>34</v>
      </c>
      <c r="B17" s="7">
        <f>SUM('Mountaineer:Charles Town'!B16)</f>
        <v>5680108.5</v>
      </c>
      <c r="C17" s="7">
        <f>SUM('Mountaineer:Charles Town'!C16)</f>
        <v>1988038</v>
      </c>
      <c r="D17" s="7">
        <f>SUM('Mountaineer:Charles Town'!D16)</f>
        <v>170403.26</v>
      </c>
      <c r="E17" s="7">
        <f>SUM('Mountaineer:Charles Town'!E16)</f>
        <v>25560.489999999998</v>
      </c>
      <c r="F17" s="7">
        <f>SUM('Mountaineer:Charles Town'!F16)</f>
        <v>127802.43000000001</v>
      </c>
      <c r="G17" s="7">
        <f>SUM('Mountaineer:Charles Town'!G16)</f>
        <v>102241.97</v>
      </c>
      <c r="H17" s="7">
        <f>SUM('Mountaineer:Charles Town'!H16)</f>
        <v>113602.2</v>
      </c>
      <c r="I17" s="20">
        <f>SUM('Mountaineer:Charles Town'!I16)</f>
        <v>170403.26</v>
      </c>
      <c r="J17" s="20">
        <f>SUM('Mountaineer:Charles Town'!J16)</f>
        <v>28400.54</v>
      </c>
      <c r="K17" s="7">
        <f>SUM('Mountaineer:Charles Town'!K16)</f>
        <v>170.02999999999997</v>
      </c>
      <c r="L17" s="20">
        <f>SUM('Mountaineer:Charles Town'!L16)</f>
        <v>949843.35</v>
      </c>
      <c r="M17" s="7">
        <f>SUM('Mountaineer:Charles Town'!M16)</f>
        <v>49991.75</v>
      </c>
      <c r="N17" s="7">
        <f>SUM('Mountaineer:Charles Town'!N16)</f>
        <v>124979.07</v>
      </c>
      <c r="O17" s="7">
        <f>SUM('Mountaineer:Charles Town'!O16)</f>
        <v>124978.98</v>
      </c>
    </row>
    <row r="18" spans="1:15" ht="15" customHeight="1" x14ac:dyDescent="0.25">
      <c r="A18" s="26" t="s">
        <v>35</v>
      </c>
      <c r="B18" s="7">
        <f>SUM('Mountaineer:Charles Town'!B17)</f>
        <v>6784923.0099999998</v>
      </c>
      <c r="C18" s="7">
        <f>SUM('Mountaineer:Charles Town'!C17)</f>
        <v>2374723.0700000003</v>
      </c>
      <c r="D18" s="7">
        <f>SUM('Mountaineer:Charles Town'!D17)</f>
        <v>203547.68</v>
      </c>
      <c r="E18" s="7">
        <f>SUM('Mountaineer:Charles Town'!E17)</f>
        <v>30532.17</v>
      </c>
      <c r="F18" s="7">
        <f>SUM('Mountaineer:Charles Town'!F17)</f>
        <v>152660.78</v>
      </c>
      <c r="G18" s="7">
        <f>SUM('Mountaineer:Charles Town'!G17)</f>
        <v>122128.61</v>
      </c>
      <c r="H18" s="7">
        <f>SUM('Mountaineer:Charles Town'!H17)</f>
        <v>135698.46000000002</v>
      </c>
      <c r="I18" s="20">
        <f>SUM('Mountaineer:Charles Town'!I17)</f>
        <v>203547.68</v>
      </c>
      <c r="J18" s="20">
        <f>SUM('Mountaineer:Charles Town'!J17)</f>
        <v>33924.620000000003</v>
      </c>
      <c r="K18" s="7">
        <f>SUM('Mountaineer:Charles Town'!K17)</f>
        <v>147.54</v>
      </c>
      <c r="L18" s="20">
        <f>SUM('Mountaineer:Charles Town'!L17)</f>
        <v>1134551.26</v>
      </c>
      <c r="M18" s="7">
        <f>SUM('Mountaineer:Charles Town'!M17)</f>
        <v>59713.23</v>
      </c>
      <c r="N18" s="7">
        <f>SUM('Mountaineer:Charles Town'!N17)</f>
        <v>149283.12</v>
      </c>
      <c r="O18" s="7">
        <f>SUM('Mountaineer:Charles Town'!O17)</f>
        <v>149284.16999999998</v>
      </c>
    </row>
    <row r="19" spans="1:15" ht="15" customHeight="1" x14ac:dyDescent="0.25">
      <c r="A19" s="27" t="s">
        <v>36</v>
      </c>
      <c r="B19" s="7">
        <f>SUM('Mountaineer:Charles Town'!B18)</f>
        <v>7008290.7300000004</v>
      </c>
      <c r="C19" s="7">
        <f>SUM('Mountaineer:Charles Town'!C18)</f>
        <v>2452901.7999999998</v>
      </c>
      <c r="D19" s="7">
        <f>SUM('Mountaineer:Charles Town'!D18)</f>
        <v>210248.75</v>
      </c>
      <c r="E19" s="7">
        <f>SUM('Mountaineer:Charles Town'!E18)</f>
        <v>31537.31</v>
      </c>
      <c r="F19" s="7">
        <f>SUM('Mountaineer:Charles Town'!F18)</f>
        <v>157686.53</v>
      </c>
      <c r="G19" s="7">
        <f>SUM('Mountaineer:Charles Town'!G18)</f>
        <v>126149.23999999999</v>
      </c>
      <c r="H19" s="7">
        <f>SUM('Mountaineer:Charles Town'!H18)</f>
        <v>140165.82</v>
      </c>
      <c r="I19" s="20">
        <f>SUM('Mountaineer:Charles Town'!I18)</f>
        <v>210248.75</v>
      </c>
      <c r="J19" s="20">
        <f>SUM('Mountaineer:Charles Town'!J18)</f>
        <v>35041.440000000002</v>
      </c>
      <c r="K19" s="7">
        <f>SUM('Mountaineer:Charles Town'!K18)</f>
        <v>176.67000000000002</v>
      </c>
      <c r="L19" s="20">
        <f>SUM('Mountaineer:Charles Town'!L18)</f>
        <v>1171920.46</v>
      </c>
      <c r="M19" s="7">
        <f>SUM('Mountaineer:Charles Town'!M18)</f>
        <v>61680.03</v>
      </c>
      <c r="N19" s="7">
        <f>SUM('Mountaineer:Charles Town'!N18)</f>
        <v>154200.03000000003</v>
      </c>
      <c r="O19" s="7">
        <f>SUM('Mountaineer:Charles Town'!O18)</f>
        <v>154200.83000000002</v>
      </c>
    </row>
    <row r="20" spans="1:15" ht="15" customHeight="1" x14ac:dyDescent="0.25">
      <c r="A20" s="29" t="s">
        <v>38</v>
      </c>
      <c r="B20" s="7">
        <f>SUM('Mountaineer:Charles Town'!B19)</f>
        <v>8112477.7199999997</v>
      </c>
      <c r="C20" s="7">
        <f>SUM('Mountaineer:Charles Town'!C19)</f>
        <v>2839367.2</v>
      </c>
      <c r="D20" s="7">
        <f>SUM('Mountaineer:Charles Town'!D19)</f>
        <v>243374.34</v>
      </c>
      <c r="E20" s="7">
        <f>SUM('Mountaineer:Charles Town'!E19)</f>
        <v>36506.14</v>
      </c>
      <c r="F20" s="7">
        <f>SUM('Mountaineer:Charles Town'!F19)</f>
        <v>182530.74</v>
      </c>
      <c r="G20" s="7">
        <f>SUM('Mountaineer:Charles Town'!G19)</f>
        <v>146024.6</v>
      </c>
      <c r="H20" s="7">
        <f>SUM('Mountaineer:Charles Town'!H19)</f>
        <v>162249.54999999999</v>
      </c>
      <c r="I20" s="20">
        <f>SUM('Mountaineer:Charles Town'!I19)</f>
        <v>243374.34</v>
      </c>
      <c r="J20" s="20">
        <f>SUM('Mountaineer:Charles Town'!J19)</f>
        <v>40562.399999999994</v>
      </c>
      <c r="K20" s="7">
        <f>SUM('Mountaineer:Charles Town'!K19)</f>
        <v>157.58000000000001</v>
      </c>
      <c r="L20" s="20">
        <f>SUM('Mountaineer:Charles Town'!L19)</f>
        <v>1356526.03</v>
      </c>
      <c r="M20" s="7">
        <f>SUM('Mountaineer:Charles Town'!M19)</f>
        <v>71396.100000000006</v>
      </c>
      <c r="N20" s="7">
        <f>SUM('Mountaineer:Charles Town'!N19)</f>
        <v>178490.31</v>
      </c>
      <c r="O20" s="7">
        <f>SUM('Mountaineer:Charles Town'!O19)</f>
        <v>178489.78</v>
      </c>
    </row>
    <row r="21" spans="1:15" ht="15" customHeight="1" x14ac:dyDescent="0.25">
      <c r="A21" s="31" t="s">
        <v>42</v>
      </c>
      <c r="B21" s="7">
        <f>SUM('Mountaineer:Charles Town'!B20)</f>
        <v>7655480.96</v>
      </c>
      <c r="C21" s="7">
        <f>SUM('Mountaineer:Charles Town'!C20)</f>
        <v>2679418.3600000003</v>
      </c>
      <c r="D21" s="7">
        <f>SUM('Mountaineer:Charles Town'!D20)</f>
        <v>229664.44000000003</v>
      </c>
      <c r="E21" s="7">
        <f>SUM('Mountaineer:Charles Town'!E20)</f>
        <v>34449.660000000003</v>
      </c>
      <c r="F21" s="7">
        <f>SUM('Mountaineer:Charles Town'!F20)</f>
        <v>172248.33</v>
      </c>
      <c r="G21" s="7">
        <f>SUM('Mountaineer:Charles Town'!G20)</f>
        <v>137798.66</v>
      </c>
      <c r="H21" s="7">
        <f>SUM('Mountaineer:Charles Town'!H20)</f>
        <v>153109.62</v>
      </c>
      <c r="I21" s="20">
        <f>SUM('Mountaineer:Charles Town'!I20)</f>
        <v>229664.44000000003</v>
      </c>
      <c r="J21" s="20">
        <f>SUM('Mountaineer:Charles Town'!J20)</f>
        <v>38277.399999999994</v>
      </c>
      <c r="K21" s="7">
        <f>SUM('Mountaineer:Charles Town'!K20)</f>
        <v>137.04</v>
      </c>
      <c r="L21" s="20">
        <f>SUM('Mountaineer:Charles Town'!L20)</f>
        <v>1280100.53</v>
      </c>
      <c r="M21" s="7">
        <f>SUM('Mountaineer:Charles Town'!M20)</f>
        <v>67373.72</v>
      </c>
      <c r="N21" s="7">
        <f>SUM('Mountaineer:Charles Town'!N20)</f>
        <v>168434.64</v>
      </c>
      <c r="O21" s="7">
        <f>SUM('Mountaineer:Charles Town'!O20)</f>
        <v>168433.16000000003</v>
      </c>
    </row>
    <row r="23" spans="1:15" ht="15" customHeight="1" thickBot="1" x14ac:dyDescent="0.3">
      <c r="B23" s="8">
        <f t="shared" ref="B23:O23" si="0">SUM(B10:B22)</f>
        <v>76587377.479999989</v>
      </c>
      <c r="C23" s="8">
        <f t="shared" si="0"/>
        <v>26805582.219999999</v>
      </c>
      <c r="D23" s="8">
        <f t="shared" si="0"/>
        <v>2297621.39</v>
      </c>
      <c r="E23" s="8">
        <f t="shared" si="0"/>
        <v>344643.20999999996</v>
      </c>
      <c r="F23" s="8">
        <f t="shared" si="0"/>
        <v>1723215.99</v>
      </c>
      <c r="G23" s="8">
        <f t="shared" si="0"/>
        <v>1378572.86</v>
      </c>
      <c r="H23" s="8">
        <f t="shared" si="0"/>
        <v>1531747.62</v>
      </c>
      <c r="I23" s="8">
        <f t="shared" si="0"/>
        <v>2297621.39</v>
      </c>
      <c r="J23" s="8">
        <f t="shared" si="0"/>
        <v>382936.9</v>
      </c>
      <c r="K23" s="8">
        <f t="shared" si="0"/>
        <v>3336.4000000000005</v>
      </c>
      <c r="L23" s="8">
        <f t="shared" si="0"/>
        <v>12807944.939999998</v>
      </c>
      <c r="M23" s="8">
        <f t="shared" si="0"/>
        <v>674102.39999999991</v>
      </c>
      <c r="N23" s="8">
        <f t="shared" si="0"/>
        <v>1685256.23</v>
      </c>
      <c r="O23" s="8">
        <f t="shared" si="0"/>
        <v>1685255.2400000002</v>
      </c>
    </row>
    <row r="24" spans="1:15" ht="15" customHeight="1" thickTop="1" x14ac:dyDescent="0.25"/>
    <row r="25" spans="1:15" ht="15" customHeight="1" x14ac:dyDescent="0.25">
      <c r="A25" s="9" t="s">
        <v>14</v>
      </c>
    </row>
    <row r="26" spans="1:15" ht="15" customHeight="1" x14ac:dyDescent="0.25">
      <c r="A26" s="9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A22" sqref="A22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customHeight="1" x14ac:dyDescent="0.25">
      <c r="A2" s="30" t="s">
        <v>40</v>
      </c>
    </row>
    <row r="3" spans="1:15" ht="15" customHeight="1" x14ac:dyDescent="0.25">
      <c r="A3" s="24"/>
    </row>
    <row r="4" spans="1:15" ht="60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11233170.75</v>
      </c>
      <c r="C5" s="10">
        <v>3931609.8200000003</v>
      </c>
      <c r="D5" s="10">
        <v>336995.12</v>
      </c>
      <c r="E5" s="10">
        <v>50549.279999999999</v>
      </c>
      <c r="F5" s="10">
        <v>252746.34999999998</v>
      </c>
      <c r="G5" s="10">
        <v>202197.08999999997</v>
      </c>
      <c r="H5" s="10">
        <v>224663.44</v>
      </c>
      <c r="I5" s="10">
        <v>336995.12</v>
      </c>
      <c r="J5" s="10">
        <v>56165.86</v>
      </c>
      <c r="K5" s="10">
        <v>11695.789999999999</v>
      </c>
      <c r="L5" s="10">
        <v>1887074.93</v>
      </c>
      <c r="M5" s="10">
        <v>99319.739999999991</v>
      </c>
      <c r="N5" s="10">
        <v>248299.28000000003</v>
      </c>
      <c r="O5" s="10">
        <v>248299.44</v>
      </c>
    </row>
    <row r="7" spans="1:15" ht="15" customHeight="1" x14ac:dyDescent="0.25">
      <c r="A7" s="35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9" spans="1:15" ht="15" customHeight="1" x14ac:dyDescent="0.25">
      <c r="A9" s="12" t="s">
        <v>23</v>
      </c>
      <c r="B9" s="7">
        <v>1151427.5</v>
      </c>
      <c r="C9" s="7">
        <f>ROUND($B9*0.35,2)</f>
        <v>402999.63</v>
      </c>
      <c r="D9" s="7">
        <f>ROUND($B9*0.03,2)-0.01</f>
        <v>34542.82</v>
      </c>
      <c r="E9" s="7">
        <f>ROUND($B9*0.0045,2)</f>
        <v>5181.42</v>
      </c>
      <c r="F9" s="7">
        <f t="shared" ref="F9:F16" si="0">ROUND(($B9*0.025)*0.9,2)</f>
        <v>25907.119999999999</v>
      </c>
      <c r="G9" s="7">
        <f>ROUND(($B9*0.02)*0.9,2)</f>
        <v>20725.7</v>
      </c>
      <c r="H9" s="7">
        <f t="shared" ref="H9:H15" si="1">ROUND($B9*0.02,2)</f>
        <v>23028.55</v>
      </c>
      <c r="I9" s="7">
        <f>ROUND($B9*0.03,2)-0.01</f>
        <v>34542.82</v>
      </c>
      <c r="J9" s="7">
        <f t="shared" ref="J9:J11" si="2">ROUND($B9*0.005,2)</f>
        <v>5757.14</v>
      </c>
      <c r="K9" s="7">
        <v>157.44999999999999</v>
      </c>
      <c r="L9" s="7">
        <f>ROUND((($B9*0.22)+$K9)*0.76,2)+0.01</f>
        <v>192638.35</v>
      </c>
      <c r="M9" s="7">
        <f t="shared" ref="M9:M10" si="3">ROUND((($B9*0.22)+$K9)*0.04,2)</f>
        <v>10138.86</v>
      </c>
      <c r="N9" s="7">
        <f>ROUND((($B9*0.22)+$K9)*0.1,2)-0.02</f>
        <v>25347.13</v>
      </c>
      <c r="O9" s="7">
        <f>ROUND((($B9*0.22)+$K9)*0.1,2)+0.12</f>
        <v>25347.27</v>
      </c>
    </row>
    <row r="10" spans="1:15" ht="15" customHeight="1" x14ac:dyDescent="0.25">
      <c r="A10" s="14" t="s">
        <v>27</v>
      </c>
      <c r="B10" s="7">
        <v>1095696.5</v>
      </c>
      <c r="C10" s="7">
        <f>ROUND($B10*0.35,2)-0.01</f>
        <v>383493.77</v>
      </c>
      <c r="D10" s="7">
        <f>ROUND($B10*0.03,2)</f>
        <v>32870.9</v>
      </c>
      <c r="E10" s="7">
        <f>ROUND($B10*0.0045,2)</f>
        <v>4930.63</v>
      </c>
      <c r="F10" s="7">
        <f t="shared" si="0"/>
        <v>24653.17</v>
      </c>
      <c r="G10" s="7">
        <f>ROUND(($B10*0.02)*0.9,2)</f>
        <v>19722.54</v>
      </c>
      <c r="H10" s="7">
        <f t="shared" si="1"/>
        <v>21913.93</v>
      </c>
      <c r="I10" s="7">
        <f>ROUND($B10*0.03,2)</f>
        <v>32870.9</v>
      </c>
      <c r="J10" s="7">
        <f t="shared" si="2"/>
        <v>5478.48</v>
      </c>
      <c r="K10" s="7">
        <v>136.97999999999999</v>
      </c>
      <c r="L10" s="7">
        <f>ROUND((($B10*0.22)+$K10)*0.76,2)-0.01</f>
        <v>183304.55</v>
      </c>
      <c r="M10" s="7">
        <f t="shared" si="3"/>
        <v>9647.61</v>
      </c>
      <c r="N10" s="7">
        <f>ROUND((($B10*0.22)+$K10)*0.1,2)+0.09</f>
        <v>24119.11</v>
      </c>
      <c r="O10" s="7">
        <f>ROUND((($B10*0.22)+$K10)*0.1,2)-0.02</f>
        <v>24119</v>
      </c>
    </row>
    <row r="11" spans="1:15" ht="15" customHeight="1" x14ac:dyDescent="0.25">
      <c r="A11" s="16" t="s">
        <v>29</v>
      </c>
      <c r="B11" s="7">
        <v>939861.75</v>
      </c>
      <c r="C11" s="7">
        <f>ROUND($B11*0.35,2)</f>
        <v>328951.61</v>
      </c>
      <c r="D11" s="7">
        <f>ROUND($B11*0.03,2)+0.01</f>
        <v>28195.859999999997</v>
      </c>
      <c r="E11" s="7">
        <f>ROUND($B11*0.0045,2)-0.01</f>
        <v>4229.37</v>
      </c>
      <c r="F11" s="7">
        <f t="shared" si="0"/>
        <v>21146.89</v>
      </c>
      <c r="G11" s="7">
        <f>ROUND(($B11*0.02)*0.9,2)+0.01</f>
        <v>16917.519999999997</v>
      </c>
      <c r="H11" s="7">
        <f t="shared" si="1"/>
        <v>18797.240000000002</v>
      </c>
      <c r="I11" s="7">
        <f>ROUND($B11*0.03,2)+0.01</f>
        <v>28195.859999999997</v>
      </c>
      <c r="J11" s="7">
        <f t="shared" si="2"/>
        <v>4699.3100000000004</v>
      </c>
      <c r="K11" s="7">
        <v>111.06</v>
      </c>
      <c r="L11" s="7">
        <f>ROUND((($B11*0.22)+$K11)*0.76,2)-0.01</f>
        <v>157229.28</v>
      </c>
      <c r="M11" s="7">
        <f>ROUND((($B11*0.22)+$K11)*0.04,2)-0.01</f>
        <v>8275.2199999999993</v>
      </c>
      <c r="N11" s="7">
        <f>ROUND((($B11*0.22)+$K11)*0.1,2)-0.01</f>
        <v>20688.050000000003</v>
      </c>
      <c r="O11" s="7">
        <f>ROUND((($B11*0.22)+$K11)*0.1,2)-0.19</f>
        <v>20687.870000000003</v>
      </c>
    </row>
    <row r="12" spans="1:15" ht="15" customHeight="1" x14ac:dyDescent="0.25">
      <c r="A12" s="17" t="s">
        <v>30</v>
      </c>
      <c r="B12" s="7">
        <v>1095398.75</v>
      </c>
      <c r="C12" s="7">
        <f>ROUND($B12*0.35,2)+0.01</f>
        <v>383389.57</v>
      </c>
      <c r="D12" s="7">
        <f>ROUND($B12*0.03,2)</f>
        <v>32861.96</v>
      </c>
      <c r="E12" s="7">
        <f>ROUND($B12*0.0045,2)+0.01</f>
        <v>4929.3</v>
      </c>
      <c r="F12" s="7">
        <f t="shared" si="0"/>
        <v>24646.47</v>
      </c>
      <c r="G12" s="7">
        <f t="shared" ref="G12:G19" si="4">ROUND(($B12*0.02)*0.9,2)</f>
        <v>19717.18</v>
      </c>
      <c r="H12" s="7">
        <f t="shared" si="1"/>
        <v>21907.98</v>
      </c>
      <c r="I12" s="7">
        <f>ROUND($B12*0.03,2)</f>
        <v>32861.96</v>
      </c>
      <c r="J12" s="7">
        <f>ROUND($B12*0.005,2)+0.01</f>
        <v>5477</v>
      </c>
      <c r="K12" s="7">
        <v>72.42</v>
      </c>
      <c r="L12" s="7">
        <f>ROUND((($B12*0.22)+$K12)*0.76,2)</f>
        <v>183205.71</v>
      </c>
      <c r="M12" s="7">
        <f t="shared" ref="M12:M20" si="5">ROUND((($B12*0.22)+$K12)*0.04,2)</f>
        <v>9642.41</v>
      </c>
      <c r="N12" s="7">
        <f>ROUND((($B12*0.22)+$K12)*0.1,2)-0.05</f>
        <v>24105.96</v>
      </c>
      <c r="O12" s="7">
        <f>ROUND((($B12*0.22)+$K12)*0.1,2)+0.16</f>
        <v>24106.17</v>
      </c>
    </row>
    <row r="13" spans="1:15" ht="15" customHeight="1" x14ac:dyDescent="0.25">
      <c r="A13" s="18" t="s">
        <v>31</v>
      </c>
      <c r="B13" s="7">
        <v>888282.75</v>
      </c>
      <c r="C13" s="7">
        <f>ROUND($B13*0.35,2)</f>
        <v>310898.96000000002</v>
      </c>
      <c r="D13" s="7">
        <f>ROUND($B13*0.03,2)</f>
        <v>26648.48</v>
      </c>
      <c r="E13" s="7">
        <f>ROUND($B13*0.0045,2)+0.01</f>
        <v>3997.28</v>
      </c>
      <c r="F13" s="7">
        <f t="shared" si="0"/>
        <v>19986.36</v>
      </c>
      <c r="G13" s="7">
        <f t="shared" si="4"/>
        <v>15989.09</v>
      </c>
      <c r="H13" s="7">
        <f t="shared" si="1"/>
        <v>17765.66</v>
      </c>
      <c r="I13" s="7">
        <f>ROUND($B13*0.03,2)</f>
        <v>26648.48</v>
      </c>
      <c r="J13" s="7">
        <f>ROUND($B13*0.005,2)</f>
        <v>4441.41</v>
      </c>
      <c r="K13" s="7">
        <v>56.31</v>
      </c>
      <c r="L13" s="7">
        <f>ROUND((($B13*0.22)+$K13)*0.76,2)</f>
        <v>148563.67000000001</v>
      </c>
      <c r="M13" s="7">
        <f t="shared" si="5"/>
        <v>7819.14</v>
      </c>
      <c r="N13" s="7">
        <f>ROUND((($B13*0.22)+$K13)*0.1,2)-0.05</f>
        <v>19547.8</v>
      </c>
      <c r="O13" s="7">
        <f>ROUND((($B13*0.22)+$K13)*0.1,2)+0.07</f>
        <v>19547.919999999998</v>
      </c>
    </row>
    <row r="14" spans="1:15" ht="15" customHeight="1" x14ac:dyDescent="0.25">
      <c r="A14" s="19" t="s">
        <v>32</v>
      </c>
      <c r="B14" s="7">
        <v>951368.25</v>
      </c>
      <c r="C14" s="7">
        <f>ROUND($B14*0.35,2)+0.03</f>
        <v>332978.92000000004</v>
      </c>
      <c r="D14" s="7">
        <f>ROUND($B14*0.03,2)+0.01</f>
        <v>28541.059999999998</v>
      </c>
      <c r="E14" s="7">
        <f t="shared" ref="E14:E20" si="6">ROUND($B14*0.0045,2)</f>
        <v>4281.16</v>
      </c>
      <c r="F14" s="7">
        <f t="shared" si="0"/>
        <v>21405.79</v>
      </c>
      <c r="G14" s="7">
        <f t="shared" si="4"/>
        <v>17124.63</v>
      </c>
      <c r="H14" s="7">
        <f t="shared" si="1"/>
        <v>19027.37</v>
      </c>
      <c r="I14" s="7">
        <f>ROUND($B14*0.03,2)+0.01</f>
        <v>28541.059999999998</v>
      </c>
      <c r="J14" s="7">
        <f>ROUND($B14*0.005,2)</f>
        <v>4756.84</v>
      </c>
      <c r="K14" s="7">
        <v>49.96</v>
      </c>
      <c r="L14" s="7">
        <f>ROUND((($B14*0.22)+$K14)*0.76,2)-0.01</f>
        <v>159106.72999999998</v>
      </c>
      <c r="M14" s="7">
        <f t="shared" si="5"/>
        <v>8374.0400000000009</v>
      </c>
      <c r="N14" s="7">
        <f>ROUND((($B14*0.22)+$K14)*0.1,2)+0.04</f>
        <v>20935.14</v>
      </c>
      <c r="O14" s="7">
        <f>ROUND((($B14*0.22)+$K14)*0.1,2)-0.17</f>
        <v>20934.93</v>
      </c>
    </row>
    <row r="15" spans="1:15" ht="15" customHeight="1" x14ac:dyDescent="0.25">
      <c r="A15" s="22" t="s">
        <v>33</v>
      </c>
      <c r="B15" s="7">
        <v>1043511</v>
      </c>
      <c r="C15" s="7">
        <f>ROUND($B15*0.35,2)-0.01</f>
        <v>365228.83999999997</v>
      </c>
      <c r="D15" s="7">
        <f>ROUND($B15*0.03,2)-0.01</f>
        <v>31305.320000000003</v>
      </c>
      <c r="E15" s="7">
        <f t="shared" si="6"/>
        <v>4695.8</v>
      </c>
      <c r="F15" s="7">
        <f t="shared" si="0"/>
        <v>23479</v>
      </c>
      <c r="G15" s="7">
        <f t="shared" si="4"/>
        <v>18783.2</v>
      </c>
      <c r="H15" s="7">
        <f t="shared" si="1"/>
        <v>20870.22</v>
      </c>
      <c r="I15" s="7">
        <f>ROUND($B15*0.03,2)-0.01</f>
        <v>31305.320000000003</v>
      </c>
      <c r="J15" s="7">
        <f>ROUND($B15*0.005,2)</f>
        <v>5217.5600000000004</v>
      </c>
      <c r="K15" s="7">
        <v>52.71</v>
      </c>
      <c r="L15" s="7">
        <f>ROUND((($B15*0.22)+$K15)*0.76,2)</f>
        <v>174515.1</v>
      </c>
      <c r="M15" s="7">
        <f t="shared" si="5"/>
        <v>9185.01</v>
      </c>
      <c r="N15" s="7">
        <f>ROUND((($B15*0.22)+$K15)*0.1,2)+0.06</f>
        <v>22962.57</v>
      </c>
      <c r="O15" s="7">
        <f>ROUND((($B15*0.22)+$K15)*0.1,2)-0.16</f>
        <v>22962.35</v>
      </c>
    </row>
    <row r="16" spans="1:15" ht="15" customHeight="1" x14ac:dyDescent="0.25">
      <c r="A16" s="25" t="s">
        <v>34</v>
      </c>
      <c r="B16" s="7">
        <v>865277.5</v>
      </c>
      <c r="C16" s="7">
        <f>ROUND($B16*0.35,2)</f>
        <v>302847.13</v>
      </c>
      <c r="D16" s="7">
        <f>ROUND($B16*0.03,2)-0.01</f>
        <v>25958.320000000003</v>
      </c>
      <c r="E16" s="7">
        <f t="shared" si="6"/>
        <v>3893.75</v>
      </c>
      <c r="F16" s="7">
        <f t="shared" si="0"/>
        <v>19468.740000000002</v>
      </c>
      <c r="G16" s="7">
        <f t="shared" si="4"/>
        <v>15575</v>
      </c>
      <c r="H16" s="7">
        <f>ROUND($B16*0.02,2)+0.01</f>
        <v>17305.559999999998</v>
      </c>
      <c r="I16" s="7">
        <f>ROUND($B16*0.03,2)-0.01</f>
        <v>25958.320000000003</v>
      </c>
      <c r="J16" s="7">
        <f>ROUND($B16*0.005,2)-0.01</f>
        <v>4326.38</v>
      </c>
      <c r="K16" s="7">
        <v>42.5</v>
      </c>
      <c r="L16" s="7">
        <f>ROUND((($B16*0.22)+$K16)*0.76,2)</f>
        <v>144706.70000000001</v>
      </c>
      <c r="M16" s="7">
        <f t="shared" si="5"/>
        <v>7616.14</v>
      </c>
      <c r="N16" s="7">
        <f>ROUND((($B16*0.22)+$K16)*0.1,2)-0.08</f>
        <v>19040.28</v>
      </c>
      <c r="O16" s="7">
        <f>ROUND((($B16*0.22)+$K16)*0.1,2)-0.11</f>
        <v>19040.25</v>
      </c>
    </row>
    <row r="17" spans="1:15" ht="15" customHeight="1" x14ac:dyDescent="0.25">
      <c r="A17" s="26" t="s">
        <v>35</v>
      </c>
      <c r="B17" s="7">
        <v>982654.5</v>
      </c>
      <c r="C17" s="7">
        <f>ROUND($B17*0.35,2)</f>
        <v>343929.08</v>
      </c>
      <c r="D17" s="7">
        <f>ROUND($B17*0.03,2)</f>
        <v>29479.64</v>
      </c>
      <c r="E17" s="7">
        <f t="shared" si="6"/>
        <v>4421.95</v>
      </c>
      <c r="F17" s="7">
        <f>ROUND(($B17*0.025)*0.9,2)-0.01</f>
        <v>22109.72</v>
      </c>
      <c r="G17" s="7">
        <f t="shared" si="4"/>
        <v>17687.78</v>
      </c>
      <c r="H17" s="7">
        <f>ROUND($B17*0.02,2)</f>
        <v>19653.09</v>
      </c>
      <c r="I17" s="7">
        <f>ROUND($B17*0.03,2)</f>
        <v>29479.64</v>
      </c>
      <c r="J17" s="7">
        <f>ROUND($B17*0.005,2)</f>
        <v>4913.2700000000004</v>
      </c>
      <c r="K17" s="7">
        <v>36.89</v>
      </c>
      <c r="L17" s="7">
        <f>ROUND((($B17*0.22)+$K17)*0.76,2)-0.01</f>
        <v>164327.85999999999</v>
      </c>
      <c r="M17" s="7">
        <f t="shared" si="5"/>
        <v>8648.84</v>
      </c>
      <c r="N17" s="7">
        <f>ROUND((($B17*0.22)+$K17)*0.1,2)+0.01</f>
        <v>21622.1</v>
      </c>
      <c r="O17" s="7">
        <f>ROUND((($B17*0.22)+$K17)*0.1,2)+0.29</f>
        <v>21622.38</v>
      </c>
    </row>
    <row r="18" spans="1:15" ht="15" customHeight="1" x14ac:dyDescent="0.25">
      <c r="A18" s="27" t="s">
        <v>36</v>
      </c>
      <c r="B18" s="7">
        <v>1005468.5</v>
      </c>
      <c r="C18" s="7">
        <f>ROUND($B18*0.35,2)+0.01</f>
        <v>351913.99</v>
      </c>
      <c r="D18" s="7">
        <f>ROUND($B18*0.03,2)</f>
        <v>30164.06</v>
      </c>
      <c r="E18" s="7">
        <f t="shared" si="6"/>
        <v>4524.6099999999997</v>
      </c>
      <c r="F18" s="7">
        <f>ROUND(($B18*0.025)*0.9,2)</f>
        <v>22623.040000000001</v>
      </c>
      <c r="G18" s="7">
        <f t="shared" si="4"/>
        <v>18098.43</v>
      </c>
      <c r="H18" s="7">
        <f>ROUND($B18*0.02,2)</f>
        <v>20109.37</v>
      </c>
      <c r="I18" s="7">
        <f>ROUND($B18*0.03,2)</f>
        <v>30164.06</v>
      </c>
      <c r="J18" s="7">
        <f>ROUND($B18*0.005,2)</f>
        <v>5027.34</v>
      </c>
      <c r="K18" s="7">
        <v>44.17</v>
      </c>
      <c r="L18" s="7">
        <f>ROUND((($B18*0.22)+$K18)*0.76,2)</f>
        <v>168147.9</v>
      </c>
      <c r="M18" s="7">
        <f t="shared" si="5"/>
        <v>8849.89</v>
      </c>
      <c r="N18" s="7">
        <f>ROUND((($B18*0.22)+$K18)*0.1,2)</f>
        <v>22124.720000000001</v>
      </c>
      <c r="O18" s="7">
        <f>ROUND((($B18*0.22)+$K18)*0.1,2)+0.19</f>
        <v>22124.91</v>
      </c>
    </row>
    <row r="19" spans="1:15" ht="15" customHeight="1" x14ac:dyDescent="0.25">
      <c r="A19" s="29" t="s">
        <v>38</v>
      </c>
      <c r="B19" s="7">
        <v>1060650.75</v>
      </c>
      <c r="C19" s="7">
        <f>ROUND($B19*0.35,2)</f>
        <v>371227.76</v>
      </c>
      <c r="D19" s="7">
        <f>ROUND($B19*0.03,2)</f>
        <v>31819.52</v>
      </c>
      <c r="E19" s="7">
        <f t="shared" si="6"/>
        <v>4772.93</v>
      </c>
      <c r="F19" s="7">
        <f>ROUND(($B19*0.025)*0.9,2)</f>
        <v>23864.639999999999</v>
      </c>
      <c r="G19" s="7">
        <f t="shared" si="4"/>
        <v>19091.71</v>
      </c>
      <c r="H19" s="7">
        <f>ROUND($B19*0.02,2)-0.01</f>
        <v>21213.010000000002</v>
      </c>
      <c r="I19" s="7">
        <f>ROUND($B19*0.03,2)</f>
        <v>31819.52</v>
      </c>
      <c r="J19" s="7">
        <f>ROUND($B19*0.005,2)</f>
        <v>5303.25</v>
      </c>
      <c r="K19" s="7">
        <v>39.39</v>
      </c>
      <c r="L19" s="7">
        <f>ROUND((($B19*0.22)+$K19)*0.76,2)+0.01</f>
        <v>177370.75</v>
      </c>
      <c r="M19" s="7">
        <f t="shared" si="5"/>
        <v>9335.2999999999993</v>
      </c>
      <c r="N19" s="7">
        <f>ROUND((($B19*0.22)+$K19)*0.1,2)+0.01</f>
        <v>23338.269999999997</v>
      </c>
      <c r="O19" s="7">
        <f>ROUND((($B19*0.22)+$K19)*0.1,2)-0.12</f>
        <v>23338.14</v>
      </c>
    </row>
    <row r="20" spans="1:15" ht="15" customHeight="1" x14ac:dyDescent="0.25">
      <c r="A20" s="31" t="s">
        <v>42</v>
      </c>
      <c r="B20" s="7">
        <v>1065211</v>
      </c>
      <c r="C20" s="7">
        <f>ROUND($B20*0.35,2)</f>
        <v>372823.85</v>
      </c>
      <c r="D20" s="7">
        <f>ROUND($B20*0.03,2)+0.01</f>
        <v>31956.34</v>
      </c>
      <c r="E20" s="7">
        <f t="shared" si="6"/>
        <v>4793.45</v>
      </c>
      <c r="F20" s="7">
        <f>ROUND(($B20*0.025)*0.9,2)</f>
        <v>23967.25</v>
      </c>
      <c r="G20" s="7">
        <f>ROUND(($B20*0.02)*0.9,2)</f>
        <v>19173.8</v>
      </c>
      <c r="H20" s="7">
        <f>ROUND($B20*0.02,2)</f>
        <v>21304.22</v>
      </c>
      <c r="I20" s="7">
        <f>ROUND($B20*0.03,2)+0.01</f>
        <v>31956.34</v>
      </c>
      <c r="J20" s="7">
        <f>ROUND($B20*0.005,2)-0.01</f>
        <v>5326.05</v>
      </c>
      <c r="K20" s="7">
        <v>34.26</v>
      </c>
      <c r="L20" s="7">
        <f>ROUND((($B20*0.22)+$K20)*0.76,2)-0.03</f>
        <v>178129.29</v>
      </c>
      <c r="M20" s="7">
        <f t="shared" si="5"/>
        <v>9375.23</v>
      </c>
      <c r="N20" s="7">
        <f>ROUND((($B20*0.22)+$K20)*0.1,2)+0.08</f>
        <v>23438.15</v>
      </c>
      <c r="O20" s="7">
        <f>ROUND((($B20*0.22)+$K20)*0.1,2)-0.28</f>
        <v>23437.79</v>
      </c>
    </row>
    <row r="22" spans="1:15" ht="15" customHeight="1" thickBot="1" x14ac:dyDescent="0.3">
      <c r="B22" s="8">
        <f t="shared" ref="B22:O22" si="7">SUM(B9:B21)</f>
        <v>12144808.75</v>
      </c>
      <c r="C22" s="8">
        <f t="shared" si="7"/>
        <v>4250683.1099999994</v>
      </c>
      <c r="D22" s="8">
        <f t="shared" si="7"/>
        <v>364344.28000000009</v>
      </c>
      <c r="E22" s="8">
        <f t="shared" si="7"/>
        <v>54651.649999999987</v>
      </c>
      <c r="F22" s="8">
        <f t="shared" si="7"/>
        <v>273258.19</v>
      </c>
      <c r="G22" s="8">
        <f t="shared" si="7"/>
        <v>218606.57999999996</v>
      </c>
      <c r="H22" s="8">
        <f t="shared" si="7"/>
        <v>242896.2</v>
      </c>
      <c r="I22" s="8">
        <f t="shared" si="7"/>
        <v>364344.28000000009</v>
      </c>
      <c r="J22" s="8">
        <f t="shared" si="7"/>
        <v>60724.03</v>
      </c>
      <c r="K22" s="8">
        <f t="shared" si="7"/>
        <v>834.1</v>
      </c>
      <c r="L22" s="8">
        <f t="shared" si="7"/>
        <v>2031245.8900000001</v>
      </c>
      <c r="M22" s="8">
        <f t="shared" si="7"/>
        <v>106907.69</v>
      </c>
      <c r="N22" s="8">
        <f t="shared" si="7"/>
        <v>267269.28000000003</v>
      </c>
      <c r="O22" s="8">
        <f t="shared" si="7"/>
        <v>267268.98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N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A22" sqref="A22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customHeight="1" x14ac:dyDescent="0.25">
      <c r="A2" s="15" t="s">
        <v>28</v>
      </c>
    </row>
    <row r="3" spans="1:15" ht="15" customHeight="1" x14ac:dyDescent="0.25">
      <c r="A3" s="2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5685732.0999999996</v>
      </c>
      <c r="C5" s="10">
        <v>1990006.25</v>
      </c>
      <c r="D5" s="10">
        <v>170571.96</v>
      </c>
      <c r="E5" s="10">
        <v>25585.81</v>
      </c>
      <c r="F5" s="10">
        <v>127928.98999999999</v>
      </c>
      <c r="G5" s="10">
        <v>102343.16999999998</v>
      </c>
      <c r="H5" s="10">
        <v>113714.64</v>
      </c>
      <c r="I5" s="10">
        <v>170571.96</v>
      </c>
      <c r="J5" s="10">
        <v>28428.66</v>
      </c>
      <c r="K5" s="10">
        <v>11406.189999999999</v>
      </c>
      <c r="L5" s="10">
        <v>959323.12</v>
      </c>
      <c r="M5" s="10">
        <v>50490.69</v>
      </c>
      <c r="N5" s="10">
        <v>126226.66999999998</v>
      </c>
      <c r="O5" s="10">
        <v>126226.59999999999</v>
      </c>
    </row>
    <row r="7" spans="1:15" ht="15" customHeight="1" x14ac:dyDescent="0.25">
      <c r="A7" s="35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9" spans="1:15" ht="15" customHeight="1" x14ac:dyDescent="0.25">
      <c r="A9" s="12" t="s">
        <v>23</v>
      </c>
      <c r="B9" s="7">
        <v>375308.11</v>
      </c>
      <c r="C9" s="7">
        <f>ROUND($B9*0.35,2)-0.01</f>
        <v>131357.82999999999</v>
      </c>
      <c r="D9" s="7">
        <f>ROUND($B9*0.03,2)</f>
        <v>11259.24</v>
      </c>
      <c r="E9" s="7">
        <f>ROUND($B9*0.0045,2)-0.01</f>
        <v>1688.88</v>
      </c>
      <c r="F9" s="7">
        <f>ROUND(($B9*0.025)*0.9,2)</f>
        <v>8444.43</v>
      </c>
      <c r="G9" s="7">
        <f t="shared" ref="G9:G17" si="0">ROUND(($B9*0.02)*0.9,2)</f>
        <v>6755.55</v>
      </c>
      <c r="H9" s="7">
        <f t="shared" ref="H9:H13" si="1">ROUND($B9*0.02,2)</f>
        <v>7506.16</v>
      </c>
      <c r="I9" s="7">
        <f>ROUND($B9*0.03,2)</f>
        <v>11259.24</v>
      </c>
      <c r="J9" s="7">
        <f t="shared" ref="J9:J13" si="2">ROUND($B9*0.005,2)</f>
        <v>1876.54</v>
      </c>
      <c r="K9" s="7">
        <v>157.44999999999999</v>
      </c>
      <c r="L9" s="7">
        <f>ROUND((($B9*0.22)+$K9)*0.76,2)+0.01</f>
        <v>62871.19</v>
      </c>
      <c r="M9" s="7">
        <f t="shared" ref="M9:M20" si="3">ROUND((($B9*0.22)+$K9)*0.04,2)</f>
        <v>3309.01</v>
      </c>
      <c r="N9" s="7">
        <f>ROUND((($B9*0.22)+$K9)*0.1,2)-0.02</f>
        <v>8272.5</v>
      </c>
      <c r="O9" s="7">
        <f>ROUND((($B9*0.22)+$K9)*0.1,2)+0.36</f>
        <v>8272.880000000001</v>
      </c>
    </row>
    <row r="10" spans="1:15" ht="15" customHeight="1" x14ac:dyDescent="0.25">
      <c r="A10" s="14" t="s">
        <v>27</v>
      </c>
      <c r="B10" s="7">
        <v>452481.72</v>
      </c>
      <c r="C10" s="7">
        <f>ROUND($B10*0.35,2)+0.01</f>
        <v>158368.61000000002</v>
      </c>
      <c r="D10" s="7">
        <f>ROUND($B10*0.03,2)+0.01</f>
        <v>13574.460000000001</v>
      </c>
      <c r="E10" s="7">
        <f>ROUND($B10*0.0045,2)-0.01</f>
        <v>2036.16</v>
      </c>
      <c r="F10" s="7">
        <f>ROUND(($B10*0.025)*0.9,2)</f>
        <v>10180.84</v>
      </c>
      <c r="G10" s="7">
        <f t="shared" si="0"/>
        <v>8144.67</v>
      </c>
      <c r="H10" s="7">
        <f t="shared" si="1"/>
        <v>9049.6299999999992</v>
      </c>
      <c r="I10" s="7">
        <f>ROUND($B10*0.03,2)+0.01</f>
        <v>13574.460000000001</v>
      </c>
      <c r="J10" s="7">
        <f t="shared" si="2"/>
        <v>2262.41</v>
      </c>
      <c r="K10" s="7">
        <v>136.97</v>
      </c>
      <c r="L10" s="7">
        <f>ROUND((($B10*0.22)+$K10)*0.76,2)-0.01</f>
        <v>75759.03</v>
      </c>
      <c r="M10" s="7">
        <f t="shared" si="3"/>
        <v>3987.32</v>
      </c>
      <c r="N10" s="7">
        <f>ROUND((($B10*0.22)+$K10)*0.1,2)+0.1</f>
        <v>9968.3900000000012</v>
      </c>
      <c r="O10" s="7">
        <f>ROUND((($B10*0.22)+$K10)*0.1,2)-0.01</f>
        <v>9968.2800000000007</v>
      </c>
    </row>
    <row r="11" spans="1:15" ht="15" customHeight="1" x14ac:dyDescent="0.25">
      <c r="A11" s="16" t="s">
        <v>29</v>
      </c>
      <c r="B11" s="7">
        <v>442858.34</v>
      </c>
      <c r="C11" s="7">
        <f>ROUND($B11*0.35,2)-0.01</f>
        <v>155000.41</v>
      </c>
      <c r="D11" s="7">
        <f>ROUND($B11*0.03,2)-0.01</f>
        <v>13285.74</v>
      </c>
      <c r="E11" s="7">
        <f>ROUND($B11*0.0045,2)+0.01</f>
        <v>1992.87</v>
      </c>
      <c r="F11" s="7">
        <f>ROUND(($B11*0.025)*0.9,2)</f>
        <v>9964.31</v>
      </c>
      <c r="G11" s="7">
        <f t="shared" si="0"/>
        <v>7971.45</v>
      </c>
      <c r="H11" s="7">
        <f t="shared" si="1"/>
        <v>8857.17</v>
      </c>
      <c r="I11" s="7">
        <f>ROUND($B11*0.03,2)-0.01</f>
        <v>13285.74</v>
      </c>
      <c r="J11" s="7">
        <f t="shared" si="2"/>
        <v>2214.29</v>
      </c>
      <c r="K11" s="7">
        <v>111.07</v>
      </c>
      <c r="L11" s="7">
        <f>ROUND((($B11*0.22)+$K11)*0.76,2)</f>
        <v>74130.33</v>
      </c>
      <c r="M11" s="7">
        <f t="shared" si="3"/>
        <v>3901.6</v>
      </c>
      <c r="N11" s="7">
        <f>ROUND((($B11*0.22)+$K11)*0.1,2)-0.01</f>
        <v>9753.98</v>
      </c>
      <c r="O11" s="7">
        <f>ROUND((($B11*0.22)+$K11)*0.1,2)-0.19</f>
        <v>9753.7999999999993</v>
      </c>
    </row>
    <row r="12" spans="1:15" ht="15" customHeight="1" x14ac:dyDescent="0.25">
      <c r="A12" s="17" t="s">
        <v>30</v>
      </c>
      <c r="B12" s="7">
        <v>378595.38</v>
      </c>
      <c r="C12" s="7">
        <f>ROUND($B12*0.35,2)-0.01</f>
        <v>132508.37</v>
      </c>
      <c r="D12" s="7">
        <f>ROUND($B12*0.03,2)</f>
        <v>11357.86</v>
      </c>
      <c r="E12" s="7">
        <f t="shared" ref="E12:E20" si="4">ROUND($B12*0.0045,2)</f>
        <v>1703.68</v>
      </c>
      <c r="F12" s="7">
        <f>ROUND(($B12*0.025)*0.9,2)</f>
        <v>8518.4</v>
      </c>
      <c r="G12" s="7">
        <f t="shared" si="0"/>
        <v>6814.72</v>
      </c>
      <c r="H12" s="7">
        <f t="shared" si="1"/>
        <v>7571.91</v>
      </c>
      <c r="I12" s="7">
        <f>ROUND($B12*0.03,2)</f>
        <v>11357.86</v>
      </c>
      <c r="J12" s="7">
        <f t="shared" si="2"/>
        <v>1892.98</v>
      </c>
      <c r="K12" s="7">
        <v>72.42</v>
      </c>
      <c r="L12" s="7">
        <f>ROUND((($B12*0.22)+$K12)*0.76,2)-0.03</f>
        <v>63356.160000000003</v>
      </c>
      <c r="M12" s="7">
        <f t="shared" si="3"/>
        <v>3334.54</v>
      </c>
      <c r="N12" s="7">
        <f>ROUND((($B12*0.22)+$K12)*0.1,2)-0.04</f>
        <v>8336.2999999999993</v>
      </c>
      <c r="O12" s="7">
        <f>ROUND((($B12*0.22)+$K12)*0.1,2)+0.15</f>
        <v>8336.49</v>
      </c>
    </row>
    <row r="13" spans="1:15" ht="15" customHeight="1" x14ac:dyDescent="0.25">
      <c r="A13" s="18" t="s">
        <v>31</v>
      </c>
      <c r="B13" s="7">
        <v>428037.75</v>
      </c>
      <c r="C13" s="7">
        <f>ROUND($B13*0.35,2)+0.01</f>
        <v>149813.22</v>
      </c>
      <c r="D13" s="7">
        <f>ROUND($B13*0.03,2)+0.01</f>
        <v>12841.14</v>
      </c>
      <c r="E13" s="7">
        <f t="shared" si="4"/>
        <v>1926.17</v>
      </c>
      <c r="F13" s="7">
        <f>ROUND(($B13*0.025)*0.9,2)-0.01</f>
        <v>9630.84</v>
      </c>
      <c r="G13" s="7">
        <f t="shared" si="0"/>
        <v>7704.68</v>
      </c>
      <c r="H13" s="7">
        <f t="shared" si="1"/>
        <v>8560.76</v>
      </c>
      <c r="I13" s="7">
        <f>ROUND($B13*0.03,2)+0.01</f>
        <v>12841.14</v>
      </c>
      <c r="J13" s="7">
        <f t="shared" si="2"/>
        <v>2140.19</v>
      </c>
      <c r="K13" s="7">
        <v>56.31</v>
      </c>
      <c r="L13" s="7">
        <f>ROUND((($B13*0.22)+$K13)*0.76,2)-0.01</f>
        <v>71610.700000000012</v>
      </c>
      <c r="M13" s="7">
        <f t="shared" si="3"/>
        <v>3768.98</v>
      </c>
      <c r="N13" s="7">
        <f>ROUND((($B13*0.22)+$K13)*0.1,2)-0.06</f>
        <v>9422.4</v>
      </c>
      <c r="O13" s="7">
        <f>ROUND((($B13*0.22)+$K13)*0.1,2)+0.09</f>
        <v>9422.5499999999993</v>
      </c>
    </row>
    <row r="14" spans="1:15" ht="15" customHeight="1" x14ac:dyDescent="0.25">
      <c r="A14" s="19" t="s">
        <v>32</v>
      </c>
      <c r="B14" s="7">
        <v>439770.76</v>
      </c>
      <c r="C14" s="7">
        <f>ROUND($B14*0.35,2)-0.01</f>
        <v>153919.75999999998</v>
      </c>
      <c r="D14" s="7">
        <f>ROUND($B14*0.03,2)</f>
        <v>13193.12</v>
      </c>
      <c r="E14" s="7">
        <f t="shared" si="4"/>
        <v>1978.97</v>
      </c>
      <c r="F14" s="7">
        <f t="shared" ref="F14:F19" si="5">ROUND(($B14*0.025)*0.9,2)</f>
        <v>9894.84</v>
      </c>
      <c r="G14" s="7">
        <f t="shared" si="0"/>
        <v>7915.87</v>
      </c>
      <c r="H14" s="7">
        <f>ROUND($B14*0.02,2)-0.01</f>
        <v>8795.41</v>
      </c>
      <c r="I14" s="7">
        <f>ROUND($B14*0.03,2)</f>
        <v>13193.12</v>
      </c>
      <c r="J14" s="20">
        <f>ROUND($B14*0.005,2)+0.01</f>
        <v>2198.86</v>
      </c>
      <c r="K14" s="20">
        <v>49.96</v>
      </c>
      <c r="L14" s="20">
        <f>ROUND((($B14*0.22)+$K14)*0.76,2)+0.01</f>
        <v>73567.649999999994</v>
      </c>
      <c r="M14" s="7">
        <f t="shared" si="3"/>
        <v>3871.98</v>
      </c>
      <c r="N14" s="7">
        <f>ROUND((($B14*0.22)+$K14)*0.1,2)+0.04</f>
        <v>9679.9900000000016</v>
      </c>
      <c r="O14" s="7">
        <f>ROUND((($B14*0.22)+$K14)*0.1,2)-0.18</f>
        <v>9679.77</v>
      </c>
    </row>
    <row r="15" spans="1:15" ht="15" customHeight="1" x14ac:dyDescent="0.25">
      <c r="A15" s="22" t="s">
        <v>33</v>
      </c>
      <c r="B15" s="7">
        <v>490587.91</v>
      </c>
      <c r="C15" s="7">
        <f>ROUND($B15*0.35,2)-0.01</f>
        <v>171705.75999999998</v>
      </c>
      <c r="D15" s="7">
        <f>ROUND($B15*0.03,2)</f>
        <v>14717.64</v>
      </c>
      <c r="E15" s="7">
        <f t="shared" si="4"/>
        <v>2207.65</v>
      </c>
      <c r="F15" s="7">
        <f t="shared" si="5"/>
        <v>11038.23</v>
      </c>
      <c r="G15" s="7">
        <f t="shared" si="0"/>
        <v>8830.58</v>
      </c>
      <c r="H15" s="7">
        <f t="shared" ref="H15:H20" si="6">ROUND($B15*0.02,2)</f>
        <v>9811.76</v>
      </c>
      <c r="I15" s="7">
        <f>ROUND($B15*0.03,2)</f>
        <v>14717.64</v>
      </c>
      <c r="J15" s="20">
        <f t="shared" ref="J15:J20" si="7">ROUND($B15*0.005,2)</f>
        <v>2452.94</v>
      </c>
      <c r="K15" s="20">
        <v>52.71</v>
      </c>
      <c r="L15" s="20">
        <f>ROUND((($B15*0.22)+$K15)*0.76,2)-0.01</f>
        <v>82066.350000000006</v>
      </c>
      <c r="M15" s="7">
        <f t="shared" si="3"/>
        <v>4319.28</v>
      </c>
      <c r="N15" s="7">
        <f>ROUND((($B15*0.22)+$K15)*0.1,2)+0.04</f>
        <v>10798.25</v>
      </c>
      <c r="O15" s="7">
        <f>ROUND((($B15*0.22)+$K15)*0.1,2)-0.17</f>
        <v>10798.039999999999</v>
      </c>
    </row>
    <row r="16" spans="1:15" ht="15" customHeight="1" x14ac:dyDescent="0.25">
      <c r="A16" s="25" t="s">
        <v>34</v>
      </c>
      <c r="B16" s="7">
        <v>356685.79</v>
      </c>
      <c r="C16" s="7">
        <f>ROUND($B16*0.35,2)</f>
        <v>124840.03</v>
      </c>
      <c r="D16" s="7">
        <f>ROUND($B16*0.03,2)-0.01</f>
        <v>10700.56</v>
      </c>
      <c r="E16" s="7">
        <f t="shared" si="4"/>
        <v>1605.09</v>
      </c>
      <c r="F16" s="7">
        <f t="shared" si="5"/>
        <v>8025.43</v>
      </c>
      <c r="G16" s="7">
        <f t="shared" si="0"/>
        <v>6420.34</v>
      </c>
      <c r="H16" s="7">
        <f t="shared" si="6"/>
        <v>7133.72</v>
      </c>
      <c r="I16" s="7">
        <f>ROUND($B16*0.03,2)-0.01</f>
        <v>10700.56</v>
      </c>
      <c r="J16" s="20">
        <f t="shared" si="7"/>
        <v>1783.43</v>
      </c>
      <c r="K16" s="20">
        <v>42.51</v>
      </c>
      <c r="L16" s="20">
        <f>ROUND((($B16*0.22)+$K16)*0.76,2)+0.02</f>
        <v>59670.189999999995</v>
      </c>
      <c r="M16" s="7">
        <f t="shared" si="3"/>
        <v>3140.54</v>
      </c>
      <c r="N16" s="7">
        <f>ROUND((($B16*0.22)+$K16)*0.1,2)-0.07</f>
        <v>7851.27</v>
      </c>
      <c r="O16" s="7">
        <f>ROUND((($B16*0.22)+$K16)*0.1,2)-0.11</f>
        <v>7851.2300000000005</v>
      </c>
    </row>
    <row r="17" spans="1:15" ht="15" customHeight="1" x14ac:dyDescent="0.25">
      <c r="A17" s="26" t="s">
        <v>35</v>
      </c>
      <c r="B17" s="7">
        <v>409187.01</v>
      </c>
      <c r="C17" s="7">
        <f>ROUND($B17*0.35,2)-0.01</f>
        <v>143215.44</v>
      </c>
      <c r="D17" s="7">
        <f>ROUND($B17*0.03,2)-0.01</f>
        <v>12275.6</v>
      </c>
      <c r="E17" s="7">
        <f t="shared" si="4"/>
        <v>1841.34</v>
      </c>
      <c r="F17" s="7">
        <f t="shared" si="5"/>
        <v>9206.7099999999991</v>
      </c>
      <c r="G17" s="7">
        <f t="shared" si="0"/>
        <v>7365.37</v>
      </c>
      <c r="H17" s="7">
        <f t="shared" si="6"/>
        <v>8183.74</v>
      </c>
      <c r="I17" s="7">
        <f>ROUND($B17*0.03,2)-0.01</f>
        <v>12275.6</v>
      </c>
      <c r="J17" s="20">
        <f t="shared" si="7"/>
        <v>2045.94</v>
      </c>
      <c r="K17" s="20">
        <v>36.89</v>
      </c>
      <c r="L17" s="20">
        <f>ROUND((($B17*0.22)+$K17)*0.76,2)+0.01</f>
        <v>68444.11</v>
      </c>
      <c r="M17" s="7">
        <f t="shared" si="3"/>
        <v>3602.32</v>
      </c>
      <c r="N17" s="7">
        <f>ROUND((($B17*0.22)+$K17)*0.1,2)+0.01</f>
        <v>9005.81</v>
      </c>
      <c r="O17" s="7">
        <f>ROUND((($B17*0.22)+$K17)*0.1,2)+0.28</f>
        <v>9006.08</v>
      </c>
    </row>
    <row r="18" spans="1:15" ht="15" customHeight="1" x14ac:dyDescent="0.25">
      <c r="A18" s="27" t="s">
        <v>36</v>
      </c>
      <c r="B18" s="7">
        <v>595954.73</v>
      </c>
      <c r="C18" s="7">
        <f>ROUND($B18*0.35,2)+0.01</f>
        <v>208584.17</v>
      </c>
      <c r="D18" s="7">
        <f>ROUND($B18*0.03,2)</f>
        <v>17878.64</v>
      </c>
      <c r="E18" s="7">
        <f t="shared" si="4"/>
        <v>2681.8</v>
      </c>
      <c r="F18" s="7">
        <f t="shared" si="5"/>
        <v>13408.98</v>
      </c>
      <c r="G18" s="7">
        <f>ROUND(($B18*0.02)*0.9,2)-0.01</f>
        <v>10727.18</v>
      </c>
      <c r="H18" s="7">
        <f t="shared" si="6"/>
        <v>11919.09</v>
      </c>
      <c r="I18" s="7">
        <f>ROUND($B18*0.03,2)</f>
        <v>17878.64</v>
      </c>
      <c r="J18" s="20">
        <f t="shared" si="7"/>
        <v>2979.77</v>
      </c>
      <c r="K18" s="20">
        <v>44.16</v>
      </c>
      <c r="L18" s="20">
        <f>ROUND((($B18*0.22)+$K18)*0.76,2)+0.03</f>
        <v>99677.22</v>
      </c>
      <c r="M18" s="7">
        <f t="shared" si="3"/>
        <v>5246.17</v>
      </c>
      <c r="N18" s="7">
        <f>ROUND((($B18*0.22)+$K18)*0.1,2)-0.01</f>
        <v>13115.41</v>
      </c>
      <c r="O18" s="7">
        <f>ROUND((($B18*0.22)+$K18)*0.1,2)+0.19</f>
        <v>13115.61</v>
      </c>
    </row>
    <row r="19" spans="1:15" ht="15" customHeight="1" x14ac:dyDescent="0.25">
      <c r="A19" s="29" t="s">
        <v>38</v>
      </c>
      <c r="B19" s="7">
        <v>488492.22</v>
      </c>
      <c r="C19" s="7">
        <f>ROUND($B19*0.35,2)</f>
        <v>170972.28</v>
      </c>
      <c r="D19" s="7">
        <f>ROUND($B19*0.03,2)+0.01</f>
        <v>14654.78</v>
      </c>
      <c r="E19" s="7">
        <f t="shared" si="4"/>
        <v>2198.21</v>
      </c>
      <c r="F19" s="7">
        <f t="shared" si="5"/>
        <v>10991.07</v>
      </c>
      <c r="G19" s="7">
        <f>ROUND(($B19*0.02)*0.9,2)</f>
        <v>8792.86</v>
      </c>
      <c r="H19" s="7">
        <f t="shared" si="6"/>
        <v>9769.84</v>
      </c>
      <c r="I19" s="7">
        <f>ROUND($B19*0.03,2)+0.01</f>
        <v>14654.78</v>
      </c>
      <c r="J19" s="20">
        <f t="shared" si="7"/>
        <v>2442.46</v>
      </c>
      <c r="K19" s="20">
        <v>39.39</v>
      </c>
      <c r="L19" s="20">
        <f>ROUND((($B19*0.22)+$K19)*0.76,2)-0.02</f>
        <v>81705.819999999992</v>
      </c>
      <c r="M19" s="7">
        <f t="shared" si="3"/>
        <v>4300.3100000000004</v>
      </c>
      <c r="N19" s="7">
        <f>ROUND((($B19*0.22)+$K19)*0.1,2)+0.01</f>
        <v>10750.78</v>
      </c>
      <c r="O19" s="7">
        <f>ROUND((($B19*0.22)+$K19)*0.1,2)-0.12</f>
        <v>10750.65</v>
      </c>
    </row>
    <row r="20" spans="1:15" ht="15" customHeight="1" x14ac:dyDescent="0.25">
      <c r="A20" s="31" t="s">
        <v>42</v>
      </c>
      <c r="B20" s="7">
        <v>523132.21</v>
      </c>
      <c r="C20" s="7">
        <f>ROUND($B20*0.35,2)-0.01</f>
        <v>183096.25999999998</v>
      </c>
      <c r="D20" s="7">
        <f>ROUND($B20*0.03,2)-0.01</f>
        <v>15693.96</v>
      </c>
      <c r="E20" s="7">
        <f t="shared" si="4"/>
        <v>2354.09</v>
      </c>
      <c r="F20" s="7">
        <f>ROUND(($B20*0.025)*0.9,2)+0.01</f>
        <v>11770.48</v>
      </c>
      <c r="G20" s="7">
        <f>ROUND(($B20*0.02)*0.9,2)</f>
        <v>9416.3799999999992</v>
      </c>
      <c r="H20" s="7">
        <f t="shared" si="6"/>
        <v>10462.64</v>
      </c>
      <c r="I20" s="7">
        <f>ROUND($B20*0.03,2)-0.01</f>
        <v>15693.96</v>
      </c>
      <c r="J20" s="20">
        <f t="shared" si="7"/>
        <v>2615.66</v>
      </c>
      <c r="K20" s="20">
        <v>34.26</v>
      </c>
      <c r="L20" s="20">
        <f>ROUND((($B20*0.22)+$K20)*0.76,2)</f>
        <v>87493.74</v>
      </c>
      <c r="M20" s="7">
        <f t="shared" si="3"/>
        <v>4604.93</v>
      </c>
      <c r="N20" s="7">
        <f>ROUND((($B20*0.22)+$K20)*0.1,2)+0.09</f>
        <v>11512.42</v>
      </c>
      <c r="O20" s="7">
        <f>ROUND((($B20*0.22)+$K20)*0.1,2)-0.27</f>
        <v>11512.06</v>
      </c>
    </row>
    <row r="21" spans="1:15" ht="15" customHeight="1" x14ac:dyDescent="0.25">
      <c r="E21" s="11"/>
    </row>
    <row r="22" spans="1:15" ht="15" customHeight="1" thickBot="1" x14ac:dyDescent="0.3">
      <c r="B22" s="8">
        <f t="shared" ref="B22:O22" si="8">SUM(B9:B21)</f>
        <v>5381091.9299999997</v>
      </c>
      <c r="C22" s="8">
        <f t="shared" si="8"/>
        <v>1883382.14</v>
      </c>
      <c r="D22" s="8">
        <f t="shared" si="8"/>
        <v>161432.74</v>
      </c>
      <c r="E22" s="8">
        <f t="shared" si="8"/>
        <v>24214.909999999996</v>
      </c>
      <c r="F22" s="8">
        <f t="shared" si="8"/>
        <v>121074.55999999998</v>
      </c>
      <c r="G22" s="8">
        <f t="shared" si="8"/>
        <v>96859.650000000009</v>
      </c>
      <c r="H22" s="8">
        <f t="shared" si="8"/>
        <v>107621.82999999999</v>
      </c>
      <c r="I22" s="8">
        <f t="shared" si="8"/>
        <v>161432.74</v>
      </c>
      <c r="J22" s="8">
        <f t="shared" si="8"/>
        <v>26905.469999999998</v>
      </c>
      <c r="K22" s="8">
        <f t="shared" si="8"/>
        <v>834.1</v>
      </c>
      <c r="L22" s="8">
        <f t="shared" si="8"/>
        <v>900352.48999999976</v>
      </c>
      <c r="M22" s="8">
        <f t="shared" si="8"/>
        <v>47386.979999999996</v>
      </c>
      <c r="N22" s="8">
        <f t="shared" si="8"/>
        <v>118467.5</v>
      </c>
      <c r="O22" s="8">
        <f t="shared" si="8"/>
        <v>118467.43999999999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N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A22" sqref="A22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customHeight="1" x14ac:dyDescent="0.25">
      <c r="A2" s="28" t="s">
        <v>37</v>
      </c>
    </row>
    <row r="3" spans="1:15" ht="15" customHeight="1" x14ac:dyDescent="0.25">
      <c r="A3" s="2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10497551.589999998</v>
      </c>
      <c r="C5" s="10">
        <v>3674143.08</v>
      </c>
      <c r="D5" s="10">
        <v>314926.56</v>
      </c>
      <c r="E5" s="10">
        <v>47239.02</v>
      </c>
      <c r="F5" s="10">
        <v>236194.89</v>
      </c>
      <c r="G5" s="10">
        <v>188955.91999999998</v>
      </c>
      <c r="H5" s="10">
        <v>209951.04</v>
      </c>
      <c r="I5" s="10">
        <v>314926.56</v>
      </c>
      <c r="J5" s="10">
        <v>52487.75</v>
      </c>
      <c r="K5" s="10">
        <v>11695.79</v>
      </c>
      <c r="L5" s="10">
        <v>1764079.3900000001</v>
      </c>
      <c r="M5" s="10">
        <v>92846.28</v>
      </c>
      <c r="N5" s="10">
        <v>232115.66999999995</v>
      </c>
      <c r="O5" s="10">
        <v>232115.84000000003</v>
      </c>
    </row>
    <row r="7" spans="1:15" ht="15" customHeight="1" x14ac:dyDescent="0.25">
      <c r="A7" s="35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9" spans="1:15" ht="15" customHeight="1" x14ac:dyDescent="0.25">
      <c r="A9" s="12" t="s">
        <v>23</v>
      </c>
      <c r="B9" s="7">
        <v>906171.41</v>
      </c>
      <c r="C9" s="7">
        <f>ROUND($B9*0.35,2)+0.01</f>
        <v>317160</v>
      </c>
      <c r="D9" s="7">
        <f>ROUND($B9*0.03,2)</f>
        <v>27185.14</v>
      </c>
      <c r="E9" s="7">
        <f t="shared" ref="E9:E13" si="0">ROUND($B9*0.0045,2)</f>
        <v>4077.77</v>
      </c>
      <c r="F9" s="7">
        <f>ROUND(($B9*0.025)*0.9,2)+0.01</f>
        <v>20388.87</v>
      </c>
      <c r="G9" s="7">
        <f>ROUND(($B9*0.02)*0.9,2)</f>
        <v>16311.09</v>
      </c>
      <c r="H9" s="7">
        <f t="shared" ref="H9:H20" si="1">ROUND($B9*0.02,2)</f>
        <v>18123.43</v>
      </c>
      <c r="I9" s="7">
        <f>ROUND($B9*0.03,2)</f>
        <v>27185.14</v>
      </c>
      <c r="J9" s="7">
        <f>ROUND($B9*0.005,2)</f>
        <v>4530.8599999999997</v>
      </c>
      <c r="K9" s="7">
        <v>157.46</v>
      </c>
      <c r="L9" s="7">
        <f>ROUND((($B9*0.22)+$K9)*0.76,2)-0.02</f>
        <v>151631.51</v>
      </c>
      <c r="M9" s="7">
        <f t="shared" ref="M9:M20" si="2">ROUND((($B9*0.22)+$K9)*0.04,2)</f>
        <v>7980.61</v>
      </c>
      <c r="N9" s="7">
        <f>ROUND((($B9*0.22)+$K9)*0.1,2)-0.03</f>
        <v>19951.490000000002</v>
      </c>
      <c r="O9" s="7">
        <f>ROUND((($B9*0.22)+$K9)*0.1,2)+0.13</f>
        <v>19951.650000000001</v>
      </c>
    </row>
    <row r="10" spans="1:15" ht="15" customHeight="1" x14ac:dyDescent="0.25">
      <c r="A10" s="14" t="s">
        <v>27</v>
      </c>
      <c r="B10" s="7">
        <v>988744.59</v>
      </c>
      <c r="C10" s="7">
        <f>ROUND($B10*0.35,2)-0.01</f>
        <v>346060.6</v>
      </c>
      <c r="D10" s="7">
        <f>ROUND($B10*0.03,2)</f>
        <v>29662.34</v>
      </c>
      <c r="E10" s="7">
        <f t="shared" si="0"/>
        <v>4449.3500000000004</v>
      </c>
      <c r="F10" s="7">
        <f>ROUND(($B10*0.025)*0.9,2)-0.01</f>
        <v>22246.74</v>
      </c>
      <c r="G10" s="7">
        <f>ROUND(($B10*0.02)*0.9,2)</f>
        <v>17797.400000000001</v>
      </c>
      <c r="H10" s="7">
        <f t="shared" si="1"/>
        <v>19774.89</v>
      </c>
      <c r="I10" s="7">
        <f>ROUND($B10*0.03,2)</f>
        <v>29662.34</v>
      </c>
      <c r="J10" s="7">
        <f>ROUND($B10*0.005,2)</f>
        <v>4943.72</v>
      </c>
      <c r="K10" s="7">
        <v>136.97</v>
      </c>
      <c r="L10" s="7">
        <f>ROUND((($B10*0.22)+$K10)*0.76,2)+0.01</f>
        <v>165422.20000000001</v>
      </c>
      <c r="M10" s="7">
        <f t="shared" si="2"/>
        <v>8706.43</v>
      </c>
      <c r="N10" s="7">
        <f>ROUND((($B10*0.22)+$K10)*0.1,2)+0.1</f>
        <v>21766.18</v>
      </c>
      <c r="O10" s="7">
        <f>ROUND((($B10*0.22)+$K10)*0.1,2)-0.03</f>
        <v>21766.050000000003</v>
      </c>
    </row>
    <row r="11" spans="1:15" ht="15" customHeight="1" x14ac:dyDescent="0.25">
      <c r="A11" s="16" t="s">
        <v>29</v>
      </c>
      <c r="B11" s="7">
        <v>1016406.75</v>
      </c>
      <c r="C11" s="7">
        <f>ROUND($B11*0.35,2)</f>
        <v>355742.36</v>
      </c>
      <c r="D11" s="7">
        <f>ROUND($B11*0.03,2)</f>
        <v>30492.2</v>
      </c>
      <c r="E11" s="7">
        <f t="shared" si="0"/>
        <v>4573.83</v>
      </c>
      <c r="F11" s="7">
        <f>ROUND(($B11*0.025)*0.9,2)</f>
        <v>22869.15</v>
      </c>
      <c r="G11" s="7">
        <f>ROUND(($B11*0.02)*0.9,2)+0.01</f>
        <v>18295.329999999998</v>
      </c>
      <c r="H11" s="7">
        <f t="shared" si="1"/>
        <v>20328.14</v>
      </c>
      <c r="I11" s="7">
        <f>ROUND($B11*0.03,2)</f>
        <v>30492.2</v>
      </c>
      <c r="J11" s="7">
        <f>ROUND($B11*0.005,2)</f>
        <v>5082.03</v>
      </c>
      <c r="K11" s="7">
        <v>111.06</v>
      </c>
      <c r="L11" s="7">
        <f>ROUND((($B11*0.22)+$K11)*0.76,2)+0.01</f>
        <v>170027.62</v>
      </c>
      <c r="M11" s="7">
        <f t="shared" si="2"/>
        <v>8948.82</v>
      </c>
      <c r="N11" s="7">
        <f>ROUND((($B11*0.22)+$K11)*0.1,2)-0.01</f>
        <v>22372.04</v>
      </c>
      <c r="O11" s="7">
        <f>ROUND((($B11*0.22)+$K11)*0.1,2)-0.19</f>
        <v>22371.86</v>
      </c>
    </row>
    <row r="12" spans="1:15" ht="15" customHeight="1" x14ac:dyDescent="0.25">
      <c r="A12" s="17" t="s">
        <v>30</v>
      </c>
      <c r="B12" s="7">
        <v>990556.22</v>
      </c>
      <c r="C12" s="7">
        <f>ROUND($B12*0.35,2)-0.02</f>
        <v>346694.66</v>
      </c>
      <c r="D12" s="7">
        <f>ROUND($B12*0.03,2)-0.01</f>
        <v>29716.68</v>
      </c>
      <c r="E12" s="7">
        <f t="shared" si="0"/>
        <v>4457.5</v>
      </c>
      <c r="F12" s="7">
        <f>ROUND(($B12*0.025)*0.9,2)+0.01</f>
        <v>22287.519999999997</v>
      </c>
      <c r="G12" s="7">
        <f t="shared" ref="G12:G20" si="3">ROUND(($B12*0.02)*0.9,2)</f>
        <v>17830.009999999998</v>
      </c>
      <c r="H12" s="7">
        <f t="shared" si="1"/>
        <v>19811.12</v>
      </c>
      <c r="I12" s="7">
        <f>ROUND($B12*0.03,2)-0.01</f>
        <v>29716.68</v>
      </c>
      <c r="J12" s="7">
        <f>ROUND($B12*0.005,2)</f>
        <v>4952.78</v>
      </c>
      <c r="K12" s="7">
        <v>72.42</v>
      </c>
      <c r="L12" s="7">
        <f>ROUND((($B12*0.22)+$K12)*0.76,2)</f>
        <v>165676.04</v>
      </c>
      <c r="M12" s="7">
        <f t="shared" si="2"/>
        <v>8719.7900000000009</v>
      </c>
      <c r="N12" s="7">
        <f>ROUND((($B12*0.22)+$K12)*0.1,2)-0.04</f>
        <v>21799.439999999999</v>
      </c>
      <c r="O12" s="7">
        <f>ROUND((($B12*0.22)+$K12)*0.1,2)+0.15</f>
        <v>21799.63</v>
      </c>
    </row>
    <row r="13" spans="1:15" ht="15" customHeight="1" x14ac:dyDescent="0.25">
      <c r="A13" s="18" t="s">
        <v>31</v>
      </c>
      <c r="B13" s="7">
        <v>969952.83</v>
      </c>
      <c r="C13" s="7">
        <f>ROUND($B13*0.35,2)</f>
        <v>339483.49</v>
      </c>
      <c r="D13" s="7">
        <f>ROUND($B13*0.03,2)</f>
        <v>29098.58</v>
      </c>
      <c r="E13" s="7">
        <f t="shared" si="0"/>
        <v>4364.79</v>
      </c>
      <c r="F13" s="7">
        <f>ROUND(($B13*0.025)*0.9,2)</f>
        <v>21823.94</v>
      </c>
      <c r="G13" s="7">
        <f t="shared" si="3"/>
        <v>17459.150000000001</v>
      </c>
      <c r="H13" s="7">
        <f t="shared" si="1"/>
        <v>19399.060000000001</v>
      </c>
      <c r="I13" s="7">
        <f>ROUND($B13*0.03,2)</f>
        <v>29098.58</v>
      </c>
      <c r="J13" s="7">
        <f>ROUND($B13*0.005,2)+0.01</f>
        <v>4849.7700000000004</v>
      </c>
      <c r="K13" s="7">
        <v>56.32</v>
      </c>
      <c r="L13" s="7">
        <f>ROUND((($B13*0.22)+$K13)*0.76,2)</f>
        <v>162218.92000000001</v>
      </c>
      <c r="M13" s="7">
        <f t="shared" si="2"/>
        <v>8537.84</v>
      </c>
      <c r="N13" s="7">
        <f>ROUND((($B13*0.22)+$K13)*0.1,2)-0.05</f>
        <v>21344.54</v>
      </c>
      <c r="O13" s="7">
        <f>ROUND((($B13*0.22)+$K13)*0.1,2)+0.08</f>
        <v>21344.670000000002</v>
      </c>
    </row>
    <row r="14" spans="1:15" ht="15" customHeight="1" x14ac:dyDescent="0.25">
      <c r="A14" s="19" t="s">
        <v>32</v>
      </c>
      <c r="B14" s="7">
        <v>899277.08</v>
      </c>
      <c r="C14" s="7">
        <f>ROUND($B14*0.35,2)</f>
        <v>314746.98</v>
      </c>
      <c r="D14" s="7">
        <f>ROUND($B14*0.03,2)+0.01</f>
        <v>26978.32</v>
      </c>
      <c r="E14" s="7">
        <f>ROUND($B14*0.0045,2)-0.01</f>
        <v>4046.74</v>
      </c>
      <c r="F14" s="7">
        <f>ROUND(($B14*0.025)*0.9,2)+0.01</f>
        <v>20233.739999999998</v>
      </c>
      <c r="G14" s="7">
        <f t="shared" si="3"/>
        <v>16186.99</v>
      </c>
      <c r="H14" s="7">
        <f t="shared" si="1"/>
        <v>17985.54</v>
      </c>
      <c r="I14" s="7">
        <f>ROUND($B14*0.03,2)+0.01</f>
        <v>26978.32</v>
      </c>
      <c r="J14" s="7">
        <f>ROUND($B14*0.005,2)</f>
        <v>4496.3900000000003</v>
      </c>
      <c r="K14" s="7">
        <v>49.95</v>
      </c>
      <c r="L14" s="7">
        <f>ROUND((($B14*0.22)+$K14)*0.76,2)-0.02</f>
        <v>150397.07</v>
      </c>
      <c r="M14" s="7">
        <f t="shared" si="2"/>
        <v>7915.64</v>
      </c>
      <c r="N14" s="7">
        <f>ROUND((($B14*0.22)+$K14)*0.1,2)+0.03</f>
        <v>19789.12</v>
      </c>
      <c r="O14" s="7">
        <f>ROUND((($B14*0.22)+$K14)*0.1,2)-0.17</f>
        <v>19788.920000000002</v>
      </c>
    </row>
    <row r="15" spans="1:15" ht="15" customHeight="1" x14ac:dyDescent="0.25">
      <c r="A15" s="22" t="s">
        <v>33</v>
      </c>
      <c r="B15" s="7">
        <v>1327001.96</v>
      </c>
      <c r="C15" s="7">
        <f>ROUND($B15*0.35,2)</f>
        <v>464450.69</v>
      </c>
      <c r="D15" s="7">
        <f>ROUND($B15*0.03,2)</f>
        <v>39810.06</v>
      </c>
      <c r="E15" s="7">
        <f>ROUND($B15*0.0045,2)-0.01</f>
        <v>5971.5</v>
      </c>
      <c r="F15" s="7">
        <f>ROUND(($B15*0.025)*0.9,2)+0.01</f>
        <v>29857.55</v>
      </c>
      <c r="G15" s="7">
        <f t="shared" si="3"/>
        <v>23886.04</v>
      </c>
      <c r="H15" s="7">
        <f t="shared" si="1"/>
        <v>26540.04</v>
      </c>
      <c r="I15" s="7">
        <f>ROUND($B15*0.03,2)</f>
        <v>39810.06</v>
      </c>
      <c r="J15" s="7">
        <f>ROUND($B15*0.005,2)</f>
        <v>6635.01</v>
      </c>
      <c r="K15" s="7">
        <v>52.7</v>
      </c>
      <c r="L15" s="7">
        <f>ROUND((($B15*0.22)+$K15)*0.76,2)</f>
        <v>221914.78</v>
      </c>
      <c r="M15" s="7">
        <f t="shared" si="2"/>
        <v>11679.73</v>
      </c>
      <c r="N15" s="7">
        <f>ROUND((($B15*0.22)+$K15)*0.1,2)+0.05</f>
        <v>29199.360000000001</v>
      </c>
      <c r="O15" s="7">
        <f>ROUND((($B15*0.22)+$K15)*0.1,2)-0.17</f>
        <v>29199.140000000003</v>
      </c>
    </row>
    <row r="16" spans="1:15" ht="15" customHeight="1" x14ac:dyDescent="0.25">
      <c r="A16" s="25" t="s">
        <v>34</v>
      </c>
      <c r="B16" s="7">
        <v>1186605.96</v>
      </c>
      <c r="C16" s="7">
        <f>ROUND($B16*0.35,2)+0.01</f>
        <v>415312.10000000003</v>
      </c>
      <c r="D16" s="7">
        <f>ROUND($B16*0.03,2)</f>
        <v>35598.18</v>
      </c>
      <c r="E16" s="7">
        <f>ROUND($B16*0.0045,2)-0.01</f>
        <v>5339.7199999999993</v>
      </c>
      <c r="F16" s="7">
        <f>ROUND(($B16*0.025)*0.9,2)</f>
        <v>26698.63</v>
      </c>
      <c r="G16" s="7">
        <f t="shared" si="3"/>
        <v>21358.91</v>
      </c>
      <c r="H16" s="7">
        <f t="shared" si="1"/>
        <v>23732.12</v>
      </c>
      <c r="I16" s="7">
        <f>ROUND($B16*0.03,2)</f>
        <v>35598.18</v>
      </c>
      <c r="J16" s="7">
        <f>ROUND($B16*0.005,2)</f>
        <v>5933.03</v>
      </c>
      <c r="K16" s="7">
        <v>42.51</v>
      </c>
      <c r="L16" s="7">
        <f>ROUND((($B16*0.22)+$K16)*0.76,2)+0.03</f>
        <v>198432.85</v>
      </c>
      <c r="M16" s="7">
        <f t="shared" si="2"/>
        <v>10443.83</v>
      </c>
      <c r="N16" s="7">
        <f>ROUND((($B16*0.22)+$K16)*0.1,2)-0.08</f>
        <v>26109.5</v>
      </c>
      <c r="O16" s="7">
        <f>ROUND((($B16*0.22)+$K16)*0.1,2)-0.09</f>
        <v>26109.49</v>
      </c>
    </row>
    <row r="17" spans="1:15" x14ac:dyDescent="0.25">
      <c r="A17" s="26" t="s">
        <v>35</v>
      </c>
      <c r="B17" s="7">
        <v>1536583.5</v>
      </c>
      <c r="C17" s="7">
        <f>ROUND($B17*0.35,2)+0.01</f>
        <v>537804.24</v>
      </c>
      <c r="D17" s="7">
        <f>ROUND($B17*0.03,2)-0.01</f>
        <v>46097.5</v>
      </c>
      <c r="E17" s="7">
        <f>ROUND($B17*0.0045,2)</f>
        <v>6914.63</v>
      </c>
      <c r="F17" s="7">
        <f>ROUND(($B17*0.025)*0.9,2)</f>
        <v>34573.129999999997</v>
      </c>
      <c r="G17" s="7">
        <f t="shared" si="3"/>
        <v>27658.5</v>
      </c>
      <c r="H17" s="7">
        <f t="shared" si="1"/>
        <v>30731.67</v>
      </c>
      <c r="I17" s="7">
        <f>ROUND($B17*0.03,2)-0.01</f>
        <v>46097.5</v>
      </c>
      <c r="J17" s="7">
        <f>ROUND($B17*0.005,2)</f>
        <v>7682.92</v>
      </c>
      <c r="K17" s="7">
        <v>36.880000000000003</v>
      </c>
      <c r="L17" s="7">
        <f>ROUND((($B17*0.22)+$K17)*0.76,2)+0.01</f>
        <v>256944.80000000002</v>
      </c>
      <c r="M17" s="7">
        <f t="shared" si="2"/>
        <v>13523.41</v>
      </c>
      <c r="N17" s="7">
        <f>ROUND((($B17*0.22)+$K17)*0.1,2)+0.02</f>
        <v>33808.549999999996</v>
      </c>
      <c r="O17" s="7">
        <f>ROUND((($B17*0.22)+$K17)*0.1,2)+0.27</f>
        <v>33808.799999999996</v>
      </c>
    </row>
    <row r="18" spans="1:15" ht="15" customHeight="1" x14ac:dyDescent="0.25">
      <c r="A18" s="27" t="s">
        <v>36</v>
      </c>
      <c r="B18" s="7">
        <v>1219081</v>
      </c>
      <c r="C18" s="7">
        <f>ROUND($B18*0.35,2)</f>
        <v>426678.35</v>
      </c>
      <c r="D18" s="7">
        <f>ROUND($B18*0.03,2)+0.01</f>
        <v>36572.44</v>
      </c>
      <c r="E18" s="7">
        <f>ROUND($B18*0.0045,2)</f>
        <v>5485.86</v>
      </c>
      <c r="F18" s="7">
        <f>ROUND(($B18*0.025)*0.9,2)</f>
        <v>27429.32</v>
      </c>
      <c r="G18" s="7">
        <f t="shared" si="3"/>
        <v>21943.46</v>
      </c>
      <c r="H18" s="7">
        <f t="shared" si="1"/>
        <v>24381.62</v>
      </c>
      <c r="I18" s="7">
        <f>ROUND($B18*0.03,2)+0.01</f>
        <v>36572.44</v>
      </c>
      <c r="J18" s="7">
        <f>ROUND($B18*0.005,2)-0.01</f>
        <v>6095.4</v>
      </c>
      <c r="K18" s="7">
        <v>44.17</v>
      </c>
      <c r="L18" s="7">
        <f>ROUND((($B18*0.22)+$K18)*0.76,2)-0.01</f>
        <v>203863.9</v>
      </c>
      <c r="M18" s="7">
        <f t="shared" si="2"/>
        <v>10729.68</v>
      </c>
      <c r="N18" s="7">
        <f>ROUND((($B18*0.22)+$K18)*0.1,2)-0.01</f>
        <v>26824.190000000002</v>
      </c>
      <c r="O18" s="7">
        <f>ROUND((($B18*0.22)+$K18)*0.1,2)+0.19</f>
        <v>26824.39</v>
      </c>
    </row>
    <row r="19" spans="1:15" ht="15" customHeight="1" x14ac:dyDescent="0.25">
      <c r="A19" s="29" t="s">
        <v>38</v>
      </c>
      <c r="B19" s="7">
        <v>1437261</v>
      </c>
      <c r="C19" s="7">
        <f>ROUND($B19*0.35,2)</f>
        <v>503041.35</v>
      </c>
      <c r="D19" s="7">
        <f>ROUND($B19*0.03,2)-0.01</f>
        <v>43117.82</v>
      </c>
      <c r="E19" s="7">
        <f>ROUND($B19*0.0045,2)</f>
        <v>6467.67</v>
      </c>
      <c r="F19" s="7">
        <f>ROUND(($B19*0.025)*0.9,2)</f>
        <v>32338.37</v>
      </c>
      <c r="G19" s="7">
        <f t="shared" si="3"/>
        <v>25870.7</v>
      </c>
      <c r="H19" s="7">
        <f t="shared" si="1"/>
        <v>28745.22</v>
      </c>
      <c r="I19" s="7">
        <f>ROUND($B19*0.03,2)-0.01</f>
        <v>43117.82</v>
      </c>
      <c r="J19" s="7">
        <f>ROUND($B19*0.005,2)</f>
        <v>7186.31</v>
      </c>
      <c r="K19" s="7">
        <v>39.4</v>
      </c>
      <c r="L19" s="7">
        <f>ROUND((($B19*0.22)+$K19)*0.76,2)+0.03</f>
        <v>240340.01</v>
      </c>
      <c r="M19" s="7">
        <f t="shared" si="2"/>
        <v>12649.47</v>
      </c>
      <c r="N19" s="7">
        <f>ROUND((($B19*0.22)+$K19)*0.1,2)+0.01</f>
        <v>31623.69</v>
      </c>
      <c r="O19" s="7">
        <f>ROUND((($B19*0.22)+$K19)*0.1,2)-0.12</f>
        <v>31623.56</v>
      </c>
    </row>
    <row r="20" spans="1:15" ht="15" customHeight="1" x14ac:dyDescent="0.25">
      <c r="A20" s="31" t="s">
        <v>42</v>
      </c>
      <c r="B20" s="7">
        <v>1501904</v>
      </c>
      <c r="C20" s="7">
        <f>ROUND($B20*0.35,2)+0.02</f>
        <v>525666.42000000004</v>
      </c>
      <c r="D20" s="7">
        <f>ROUND($B20*0.03,2)</f>
        <v>45057.120000000003</v>
      </c>
      <c r="E20" s="7">
        <f>ROUND($B20*0.0045,2)</f>
        <v>6758.57</v>
      </c>
      <c r="F20" s="7">
        <f>ROUND(($B20*0.025)*0.9,2)</f>
        <v>33792.839999999997</v>
      </c>
      <c r="G20" s="7">
        <f t="shared" si="3"/>
        <v>27034.27</v>
      </c>
      <c r="H20" s="7">
        <f t="shared" si="1"/>
        <v>30038.080000000002</v>
      </c>
      <c r="I20" s="7">
        <f>ROUND($B20*0.03,2)</f>
        <v>45057.120000000003</v>
      </c>
      <c r="J20" s="7">
        <f>ROUND($B20*0.005,2)</f>
        <v>7509.52</v>
      </c>
      <c r="K20" s="7">
        <v>34.26</v>
      </c>
      <c r="L20" s="7">
        <f>ROUND((($B20*0.22)+$K20)*0.76,2)</f>
        <v>251144.39</v>
      </c>
      <c r="M20" s="7">
        <f t="shared" si="2"/>
        <v>13218.13</v>
      </c>
      <c r="N20" s="7">
        <f>ROUND((($B20*0.22)+$K20)*0.1,2)+0.1</f>
        <v>33045.409999999996</v>
      </c>
      <c r="O20" s="7">
        <f>ROUND((($B20*0.22)+$K20)*0.1,2)-0.28</f>
        <v>33045.03</v>
      </c>
    </row>
    <row r="22" spans="1:15" ht="15" customHeight="1" thickBot="1" x14ac:dyDescent="0.3">
      <c r="B22" s="8">
        <f t="shared" ref="B22:O22" si="4">SUM(B9:B21)</f>
        <v>13979546.300000001</v>
      </c>
      <c r="C22" s="8">
        <f t="shared" si="4"/>
        <v>4892841.24</v>
      </c>
      <c r="D22" s="8">
        <f t="shared" si="4"/>
        <v>419386.38</v>
      </c>
      <c r="E22" s="8">
        <f t="shared" si="4"/>
        <v>62907.93</v>
      </c>
      <c r="F22" s="8">
        <f t="shared" si="4"/>
        <v>314539.80000000005</v>
      </c>
      <c r="G22" s="8">
        <f t="shared" si="4"/>
        <v>251631.85</v>
      </c>
      <c r="H22" s="8">
        <f t="shared" si="4"/>
        <v>279590.93</v>
      </c>
      <c r="I22" s="8">
        <f t="shared" si="4"/>
        <v>419386.38</v>
      </c>
      <c r="J22" s="8">
        <f t="shared" si="4"/>
        <v>69897.739999999991</v>
      </c>
      <c r="K22" s="8">
        <f t="shared" si="4"/>
        <v>834.1</v>
      </c>
      <c r="L22" s="8">
        <f t="shared" si="4"/>
        <v>2338014.0900000003</v>
      </c>
      <c r="M22" s="8">
        <f t="shared" si="4"/>
        <v>123053.38</v>
      </c>
      <c r="N22" s="8">
        <f t="shared" si="4"/>
        <v>307633.50999999995</v>
      </c>
      <c r="O22" s="8">
        <f t="shared" si="4"/>
        <v>307633.18999999994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N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A22" sqref="A22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customHeight="1" x14ac:dyDescent="0.25">
      <c r="A2" s="30" t="s">
        <v>39</v>
      </c>
    </row>
    <row r="3" spans="1:15" ht="15" customHeight="1" x14ac:dyDescent="0.25">
      <c r="A3" s="21"/>
    </row>
    <row r="4" spans="1:15" ht="60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50138180</v>
      </c>
      <c r="C5" s="10">
        <v>17548363.039999999</v>
      </c>
      <c r="D5" s="10">
        <v>1504145.43</v>
      </c>
      <c r="E5" s="10">
        <v>225621.78999999998</v>
      </c>
      <c r="F5" s="10">
        <v>1128109.05</v>
      </c>
      <c r="G5" s="10">
        <v>902487.27</v>
      </c>
      <c r="H5" s="10">
        <v>1002763.6200000001</v>
      </c>
      <c r="I5" s="10">
        <v>1504145.43</v>
      </c>
      <c r="J5" s="10">
        <v>250690.91</v>
      </c>
      <c r="K5" s="10">
        <v>11695.78</v>
      </c>
      <c r="L5" s="10">
        <v>8391992.4399999995</v>
      </c>
      <c r="M5" s="10">
        <v>441683.82000000007</v>
      </c>
      <c r="N5" s="10">
        <v>1104209.48</v>
      </c>
      <c r="O5" s="10">
        <v>1104209.6399999999</v>
      </c>
    </row>
    <row r="7" spans="1:15" ht="15" customHeight="1" x14ac:dyDescent="0.25">
      <c r="A7" s="35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9" spans="1:15" ht="14.25" customHeight="1" x14ac:dyDescent="0.25">
      <c r="A9" s="12" t="s">
        <v>23</v>
      </c>
      <c r="B9" s="7">
        <v>2732853.25</v>
      </c>
      <c r="C9" s="7">
        <f t="shared" ref="C9" si="0">ROUND($B9*0.35,2)</f>
        <v>956498.64</v>
      </c>
      <c r="D9" s="7">
        <f>ROUND($B9*0.03,2)-0.01</f>
        <v>81985.590000000011</v>
      </c>
      <c r="E9" s="7">
        <f>ROUND($B9*0.0045,2)</f>
        <v>12297.84</v>
      </c>
      <c r="F9" s="7">
        <f t="shared" ref="F9:F13" si="1">ROUND(($B9*0.025)*0.9,2)</f>
        <v>61489.2</v>
      </c>
      <c r="G9" s="7">
        <f t="shared" ref="G9:G13" si="2">ROUND(($B9*0.02)*0.9,2)</f>
        <v>49191.360000000001</v>
      </c>
      <c r="H9" s="7">
        <f>ROUND($B9*0.02,2)-0.01</f>
        <v>54657.06</v>
      </c>
      <c r="I9" s="7">
        <f>ROUND($B9*0.03,2)-0.01</f>
        <v>81985.590000000011</v>
      </c>
      <c r="J9" s="7">
        <f>ROUND($B9*0.005,2)-0.01</f>
        <v>13664.26</v>
      </c>
      <c r="K9" s="7">
        <v>157.46</v>
      </c>
      <c r="L9" s="7">
        <f>ROUND((($B9*0.22)+$K9)*0.76,2)+0.02</f>
        <v>457052.75</v>
      </c>
      <c r="M9" s="7">
        <f t="shared" ref="M9:M14" si="3">ROUND((($B9*0.22)+$K9)*0.04,2)</f>
        <v>24055.41</v>
      </c>
      <c r="N9" s="7">
        <f>ROUND((($B9*0.22)+$K9)*0.1,2)-0.04</f>
        <v>60138.479999999996</v>
      </c>
      <c r="O9" s="7">
        <f>ROUND((($B9*0.22)+$K9)*0.1,2)+0.13</f>
        <v>60138.649999999994</v>
      </c>
    </row>
    <row r="10" spans="1:15" ht="14.25" customHeight="1" x14ac:dyDescent="0.25">
      <c r="A10" s="14" t="s">
        <v>27</v>
      </c>
      <c r="B10" s="7">
        <v>3314557.75</v>
      </c>
      <c r="C10" s="7">
        <f>ROUND($B10*0.35,2)+0.01</f>
        <v>1160095.22</v>
      </c>
      <c r="D10" s="7">
        <f>ROUND($B10*0.03,2)+0.01</f>
        <v>99436.739999999991</v>
      </c>
      <c r="E10" s="7">
        <f>ROUND($B10*0.0045,2)</f>
        <v>14915.51</v>
      </c>
      <c r="F10" s="7">
        <f t="shared" si="1"/>
        <v>74577.55</v>
      </c>
      <c r="G10" s="7">
        <f t="shared" si="2"/>
        <v>59662.04</v>
      </c>
      <c r="H10" s="7">
        <f>ROUND($B10*0.02,2)</f>
        <v>66291.16</v>
      </c>
      <c r="I10" s="7">
        <f>ROUND($B10*0.03,2)+0.01</f>
        <v>99436.739999999991</v>
      </c>
      <c r="J10" s="7">
        <f t="shared" ref="J10:J18" si="4">ROUND($B10*0.005,2)</f>
        <v>16572.79</v>
      </c>
      <c r="K10" s="7">
        <v>136.97</v>
      </c>
      <c r="L10" s="7">
        <f>ROUND((($B10*0.22)+$K10)*0.76,2)-0.02</f>
        <v>554298.13</v>
      </c>
      <c r="M10" s="7">
        <f t="shared" si="3"/>
        <v>29173.59</v>
      </c>
      <c r="N10" s="7">
        <f>ROUND((($B10*0.22)+$K10)*0.1,2)+0.1</f>
        <v>72934.070000000007</v>
      </c>
      <c r="O10" s="7">
        <f>ROUND((($B10*0.22)+$K10)*0.1,2)-0.04</f>
        <v>72933.930000000008</v>
      </c>
    </row>
    <row r="11" spans="1:15" ht="14.25" customHeight="1" x14ac:dyDescent="0.25">
      <c r="A11" s="17" t="s">
        <v>29</v>
      </c>
      <c r="B11" s="7">
        <v>3224202.75</v>
      </c>
      <c r="C11" s="7">
        <f>ROUND($B11*0.35,2)+0.01</f>
        <v>1128470.97</v>
      </c>
      <c r="D11" s="7">
        <f>ROUND($B11*0.03,2)+0.01</f>
        <v>96726.09</v>
      </c>
      <c r="E11" s="7">
        <f>ROUND($B11*0.0045,2)+0.01</f>
        <v>14508.92</v>
      </c>
      <c r="F11" s="7">
        <f t="shared" si="1"/>
        <v>72544.56</v>
      </c>
      <c r="G11" s="7">
        <f t="shared" si="2"/>
        <v>58035.65</v>
      </c>
      <c r="H11" s="7">
        <f>ROUND($B11*0.02,2)</f>
        <v>64484.06</v>
      </c>
      <c r="I11" s="7">
        <f>ROUND($B11*0.03,2)+0.01</f>
        <v>96726.09</v>
      </c>
      <c r="J11" s="7">
        <f t="shared" si="4"/>
        <v>16121.01</v>
      </c>
      <c r="K11" s="7">
        <v>111.06</v>
      </c>
      <c r="L11" s="7">
        <f>ROUND((($B11*0.22)+$K11)*0.76,2)-0.03</f>
        <v>539171.07999999996</v>
      </c>
      <c r="M11" s="7">
        <f t="shared" si="3"/>
        <v>28377.43</v>
      </c>
      <c r="N11" s="7">
        <f>ROUND((($B11*0.22)+$K11)*0.1,2)-0.02</f>
        <v>70943.55</v>
      </c>
      <c r="O11" s="7">
        <f>ROUND((($B11*0.22)+$K11)*0.1,2)-0.18</f>
        <v>70943.390000000014</v>
      </c>
    </row>
    <row r="12" spans="1:15" ht="14.25" customHeight="1" x14ac:dyDescent="0.25">
      <c r="A12" s="17" t="s">
        <v>30</v>
      </c>
      <c r="B12" s="7">
        <v>3578799.5</v>
      </c>
      <c r="C12" s="7">
        <f>ROUND($B12*0.35,2)-0.01</f>
        <v>1252579.82</v>
      </c>
      <c r="D12" s="7">
        <f>ROUND($B12*0.03,2)+0.01</f>
        <v>107364</v>
      </c>
      <c r="E12" s="7">
        <f>ROUND($B12*0.0045,2)+0.01</f>
        <v>16104.61</v>
      </c>
      <c r="F12" s="7">
        <f t="shared" si="1"/>
        <v>80522.990000000005</v>
      </c>
      <c r="G12" s="7">
        <f t="shared" si="2"/>
        <v>64418.39</v>
      </c>
      <c r="H12" s="7">
        <f>ROUND($B12*0.02,2)+0.01</f>
        <v>71576</v>
      </c>
      <c r="I12" s="7">
        <f>ROUND($B12*0.03,2)+0.01</f>
        <v>107364</v>
      </c>
      <c r="J12" s="7">
        <f t="shared" si="4"/>
        <v>17894</v>
      </c>
      <c r="K12" s="7">
        <v>72.42</v>
      </c>
      <c r="L12" s="7">
        <f>ROUND((($B12*0.22)+$K12)*0.76,2)-0.06</f>
        <v>598430.25999999989</v>
      </c>
      <c r="M12" s="7">
        <f t="shared" si="3"/>
        <v>31496.33</v>
      </c>
      <c r="N12" s="7">
        <f>ROUND((($B12*0.22)+$K12)*0.1,2)-0.03</f>
        <v>78740.800000000003</v>
      </c>
      <c r="O12" s="7">
        <f>ROUND((($B12*0.22)+$K12)*0.1,2)+0.15</f>
        <v>78740.98</v>
      </c>
    </row>
    <row r="13" spans="1:15" ht="14.25" customHeight="1" x14ac:dyDescent="0.25">
      <c r="A13" s="18" t="s">
        <v>31</v>
      </c>
      <c r="B13" s="7">
        <v>3359502.25</v>
      </c>
      <c r="C13" s="7">
        <f>ROUND($B13*0.35,2)-0.01</f>
        <v>1175825.78</v>
      </c>
      <c r="D13" s="7">
        <f>ROUND($B13*0.03,2)-0.01</f>
        <v>100785.06000000001</v>
      </c>
      <c r="E13" s="7">
        <f>ROUND($B13*0.0045,2)</f>
        <v>15117.76</v>
      </c>
      <c r="F13" s="7">
        <f t="shared" si="1"/>
        <v>75588.800000000003</v>
      </c>
      <c r="G13" s="7">
        <f t="shared" si="2"/>
        <v>60471.040000000001</v>
      </c>
      <c r="H13" s="7">
        <f>ROUND($B13*0.02,2)-0.01</f>
        <v>67190.040000000008</v>
      </c>
      <c r="I13" s="7">
        <f>ROUND($B13*0.03,2)-0.01</f>
        <v>100785.06000000001</v>
      </c>
      <c r="J13" s="7">
        <f t="shared" si="4"/>
        <v>16797.509999999998</v>
      </c>
      <c r="K13" s="7">
        <v>56.31</v>
      </c>
      <c r="L13" s="7">
        <f>ROUND((($B13*0.22)+$K13)*0.76,2)+0.01</f>
        <v>561751.57999999996</v>
      </c>
      <c r="M13" s="7">
        <f t="shared" si="3"/>
        <v>29565.87</v>
      </c>
      <c r="N13" s="7">
        <f>ROUND((($B13*0.22)+$K13)*0.1,2)-0.05</f>
        <v>73914.62999999999</v>
      </c>
      <c r="O13" s="7">
        <f>ROUND((($B13*0.22)+$K13)*0.1,2)+0.09</f>
        <v>73914.76999999999</v>
      </c>
    </row>
    <row r="14" spans="1:15" ht="14.25" customHeight="1" x14ac:dyDescent="0.25">
      <c r="A14" s="23" t="s">
        <v>32</v>
      </c>
      <c r="B14" s="7">
        <v>3660114.5</v>
      </c>
      <c r="C14" s="7">
        <f>ROUND($B14*0.35,2)</f>
        <v>1281040.08</v>
      </c>
      <c r="D14" s="7">
        <f>ROUND($B14*0.03,2)-0.02</f>
        <v>109803.42</v>
      </c>
      <c r="E14" s="7">
        <f>ROUND($B14*0.0045,2)</f>
        <v>16470.52</v>
      </c>
      <c r="F14" s="7">
        <f>ROUND(($B14*0.025)*0.9,2)-0.01</f>
        <v>82352.570000000007</v>
      </c>
      <c r="G14" s="7">
        <f>ROUND(($B14*0.02)*0.9,2)-0.01</f>
        <v>65882.05</v>
      </c>
      <c r="H14" s="7">
        <f>ROUND($B14*0.02,2)-0.01</f>
        <v>73202.28</v>
      </c>
      <c r="I14" s="7">
        <f>ROUND($B14*0.03,2)-0.02</f>
        <v>109803.42</v>
      </c>
      <c r="J14" s="7">
        <f t="shared" si="4"/>
        <v>18300.57</v>
      </c>
      <c r="K14" s="7">
        <v>49.95</v>
      </c>
      <c r="L14" s="7">
        <f>ROUND((($B14*0.22)+$K14)*0.76,2)+0.04</f>
        <v>612009.15</v>
      </c>
      <c r="M14" s="7">
        <f t="shared" si="3"/>
        <v>32211.01</v>
      </c>
      <c r="N14" s="7">
        <f>ROUND((($B14*0.22)+$K14)*0.1,2)+0.03</f>
        <v>80527.539999999994</v>
      </c>
      <c r="O14" s="7">
        <f>ROUND((($B14*0.22)+$K14)*0.1,2)-0.19</f>
        <v>80527.319999999992</v>
      </c>
    </row>
    <row r="15" spans="1:15" ht="14.25" customHeight="1" x14ac:dyDescent="0.25">
      <c r="A15" s="22" t="s">
        <v>33</v>
      </c>
      <c r="B15" s="7">
        <v>4204769.25</v>
      </c>
      <c r="C15" s="7">
        <f>ROUND($B15*0.35,2)</f>
        <v>1471669.24</v>
      </c>
      <c r="D15" s="20">
        <f>ROUND($B15*0.03,2)+0.02</f>
        <v>126143.1</v>
      </c>
      <c r="E15" s="7">
        <f>ROUND($B15*0.0045,2)</f>
        <v>18921.46</v>
      </c>
      <c r="F15" s="7">
        <f>ROUND(($B15*0.025)*0.9,2)</f>
        <v>94607.31</v>
      </c>
      <c r="G15" s="7">
        <f>ROUND(($B15*0.02)*0.9,2)+0.01</f>
        <v>75685.86</v>
      </c>
      <c r="H15" s="7">
        <f>ROUND($B15*0.02,2)+0.01</f>
        <v>84095.4</v>
      </c>
      <c r="I15" s="20">
        <f>ROUND($B15*0.03,2)+0.02</f>
        <v>126143.1</v>
      </c>
      <c r="J15" s="7">
        <f t="shared" si="4"/>
        <v>21023.85</v>
      </c>
      <c r="K15" s="7">
        <v>52.71</v>
      </c>
      <c r="L15" s="20">
        <f>ROUND((($B15*0.22)+$K15)*0.76,2)-0.06</f>
        <v>703077.41999999993</v>
      </c>
      <c r="M15" s="7">
        <f>ROUND((($B15*0.22)+$K15)*0.04,2)-0.01</f>
        <v>37004.07</v>
      </c>
      <c r="N15" s="7">
        <f>ROUND((($B15*0.22)+$K15)*0.1,2)+0.06</f>
        <v>92510.25</v>
      </c>
      <c r="O15" s="7">
        <f>ROUND((($B15*0.22)+$K15)*0.1,2)-0.15</f>
        <v>92510.040000000008</v>
      </c>
    </row>
    <row r="16" spans="1:15" ht="14.25" customHeight="1" x14ac:dyDescent="0.25">
      <c r="A16" s="25" t="s">
        <v>34</v>
      </c>
      <c r="B16" s="7">
        <v>3271539.25</v>
      </c>
      <c r="C16" s="7">
        <f>ROUND($B16*0.35,2)</f>
        <v>1145038.74</v>
      </c>
      <c r="D16" s="20">
        <f>ROUND($B16*0.03,2)+0.02</f>
        <v>98146.2</v>
      </c>
      <c r="E16" s="7">
        <f>ROUND($B16*0.0045,2)</f>
        <v>14721.93</v>
      </c>
      <c r="F16" s="7">
        <f>ROUND(($B16*0.025)*0.9,2)</f>
        <v>73609.63</v>
      </c>
      <c r="G16" s="7">
        <f>ROUND(($B16*0.02)*0.9,2)+0.01</f>
        <v>58887.72</v>
      </c>
      <c r="H16" s="7">
        <f>ROUND($B16*0.02,2)+0.01</f>
        <v>65430.8</v>
      </c>
      <c r="I16" s="20">
        <f>ROUND($B16*0.03,2)+0.02</f>
        <v>98146.2</v>
      </c>
      <c r="J16" s="7">
        <f t="shared" si="4"/>
        <v>16357.7</v>
      </c>
      <c r="K16" s="7">
        <v>42.51</v>
      </c>
      <c r="L16" s="20">
        <f>ROUND((($B16*0.22)+$K16)*0.76,2)-0.06</f>
        <v>547033.61</v>
      </c>
      <c r="M16" s="7">
        <f>ROUND((($B16*0.22)+$K16)*0.04,2)-0.01</f>
        <v>28791.24</v>
      </c>
      <c r="N16" s="7">
        <f>ROUND((($B16*0.22)+$K16)*0.1,2)-0.09</f>
        <v>71978.02</v>
      </c>
      <c r="O16" s="7">
        <f>ROUND((($B16*0.22)+$K16)*0.1,2)-0.1</f>
        <v>71978.009999999995</v>
      </c>
    </row>
    <row r="17" spans="1:15" ht="14.25" customHeight="1" x14ac:dyDescent="0.25">
      <c r="A17" s="26" t="s">
        <v>35</v>
      </c>
      <c r="B17" s="7">
        <v>3856498</v>
      </c>
      <c r="C17" s="7">
        <f>ROUND($B17*0.35,2)+0.01</f>
        <v>1349774.31</v>
      </c>
      <c r="D17" s="20">
        <f>ROUND($B17*0.03,2)</f>
        <v>115694.94</v>
      </c>
      <c r="E17" s="7">
        <f>ROUND($B17*0.0045,2)+0.01</f>
        <v>17354.25</v>
      </c>
      <c r="F17" s="7">
        <f>ROUND(($B17*0.025)*0.9,2)+0.01</f>
        <v>86771.22</v>
      </c>
      <c r="G17" s="7">
        <f>ROUND(($B17*0.02)*0.9,2)</f>
        <v>69416.960000000006</v>
      </c>
      <c r="H17" s="7">
        <f>ROUND($B17*0.02,2)</f>
        <v>77129.960000000006</v>
      </c>
      <c r="I17" s="20">
        <f>ROUND($B17*0.03,2)</f>
        <v>115694.94</v>
      </c>
      <c r="J17" s="7">
        <f t="shared" si="4"/>
        <v>19282.490000000002</v>
      </c>
      <c r="K17" s="7">
        <v>36.880000000000003</v>
      </c>
      <c r="L17" s="20">
        <f>ROUND((($B17*0.22)+$K17)*0.76,2)</f>
        <v>644834.49</v>
      </c>
      <c r="M17" s="7">
        <f>ROUND((($B17*0.22)+$K17)*0.04,2)</f>
        <v>33938.660000000003</v>
      </c>
      <c r="N17" s="7">
        <f>ROUND((($B17*0.22)+$K17)*0.1,2)+0.02</f>
        <v>84846.66</v>
      </c>
      <c r="O17" s="7">
        <f>ROUND((($B17*0.22)+$K17)*0.1,2)+0.27</f>
        <v>84846.91</v>
      </c>
    </row>
    <row r="18" spans="1:15" ht="14.25" customHeight="1" x14ac:dyDescent="0.25">
      <c r="A18" s="27" t="s">
        <v>36</v>
      </c>
      <c r="B18" s="7">
        <v>4187786.5</v>
      </c>
      <c r="C18" s="7">
        <f>ROUND($B18*0.35,2)+0.01</f>
        <v>1465725.29</v>
      </c>
      <c r="D18" s="20">
        <f>ROUND($B18*0.03,2)+0.01</f>
        <v>125633.61</v>
      </c>
      <c r="E18" s="7">
        <f>ROUND($B18*0.0045,2)</f>
        <v>18845.04</v>
      </c>
      <c r="F18" s="7">
        <f>ROUND(($B18*0.025)*0.9,2)-0.01</f>
        <v>94225.19</v>
      </c>
      <c r="G18" s="7">
        <f>ROUND(($B18*0.02)*0.9,2)+0.01</f>
        <v>75380.17</v>
      </c>
      <c r="H18" s="7">
        <f>ROUND($B18*0.02,2)+0.01</f>
        <v>83755.739999999991</v>
      </c>
      <c r="I18" s="20">
        <f>ROUND($B18*0.03,2)+0.01</f>
        <v>125633.61</v>
      </c>
      <c r="J18" s="7">
        <f t="shared" si="4"/>
        <v>20938.93</v>
      </c>
      <c r="K18" s="7">
        <v>44.17</v>
      </c>
      <c r="L18" s="20">
        <f>ROUND((($B18*0.22)+$K18)*0.76,2)-0.03</f>
        <v>700231.44</v>
      </c>
      <c r="M18" s="7">
        <f>ROUND((($B18*0.22)+$K18)*0.04,2)</f>
        <v>36854.29</v>
      </c>
      <c r="N18" s="7">
        <f>ROUND((($B18*0.22)+$K18)*0.1,2)-0.01</f>
        <v>92135.71</v>
      </c>
      <c r="O18" s="7">
        <f>ROUND((($B18*0.22)+$K18)*0.1,2)+0.2</f>
        <v>92135.92</v>
      </c>
    </row>
    <row r="19" spans="1:15" ht="14.25" customHeight="1" x14ac:dyDescent="0.25">
      <c r="A19" s="29" t="s">
        <v>38</v>
      </c>
      <c r="B19" s="7">
        <v>5126073.75</v>
      </c>
      <c r="C19" s="7">
        <f>ROUND($B19*0.35,2)</f>
        <v>1794125.81</v>
      </c>
      <c r="D19" s="20">
        <f>ROUND($B19*0.03,2)+0.01</f>
        <v>153782.22</v>
      </c>
      <c r="E19" s="7">
        <f>ROUND($B19*0.0045,2)</f>
        <v>23067.33</v>
      </c>
      <c r="F19" s="7">
        <f>ROUND(($B19*0.025)*0.9,2)</f>
        <v>115336.66</v>
      </c>
      <c r="G19" s="7">
        <f>ROUND(($B19*0.02)*0.9,2)</f>
        <v>92269.33</v>
      </c>
      <c r="H19" s="7">
        <f>ROUND($B19*0.02,2)</f>
        <v>102521.48</v>
      </c>
      <c r="I19" s="20">
        <f>ROUND($B19*0.03,2)+0.01</f>
        <v>153782.22</v>
      </c>
      <c r="J19" s="7">
        <f>ROUND($B19*0.005,2)+0.01</f>
        <v>25630.379999999997</v>
      </c>
      <c r="K19" s="7">
        <v>39.4</v>
      </c>
      <c r="L19" s="20">
        <f>ROUND((($B19*0.22)+$K19)*0.76,2)-0.03</f>
        <v>857109.45</v>
      </c>
      <c r="M19" s="7">
        <f>ROUND((($B19*0.22)+$K19)*0.04,2)-0.01</f>
        <v>45111.02</v>
      </c>
      <c r="N19" s="7">
        <f>ROUND((($B19*0.22)+$K19)*0.1,2)+0.01</f>
        <v>112777.56999999999</v>
      </c>
      <c r="O19" s="7">
        <f>ROUND((($B19*0.22)+$K19)*0.1,2)-0.13</f>
        <v>112777.43</v>
      </c>
    </row>
    <row r="20" spans="1:15" ht="14.25" customHeight="1" x14ac:dyDescent="0.25">
      <c r="A20" s="31" t="s">
        <v>42</v>
      </c>
      <c r="B20" s="7">
        <v>4565233.75</v>
      </c>
      <c r="C20" s="7">
        <f>ROUND($B20*0.35,2)+0.02</f>
        <v>1597831.83</v>
      </c>
      <c r="D20" s="20">
        <f>ROUND($B20*0.03,2)+0.01</f>
        <v>136957.02000000002</v>
      </c>
      <c r="E20" s="7">
        <f>ROUND($B20*0.0045,2)</f>
        <v>20543.55</v>
      </c>
      <c r="F20" s="7">
        <f>ROUND(($B20*0.025)*0.9,2)</f>
        <v>102717.75999999999</v>
      </c>
      <c r="G20" s="7">
        <f>ROUND(($B20*0.02)*0.9,2)</f>
        <v>82174.210000000006</v>
      </c>
      <c r="H20" s="7">
        <f>ROUND($B20*0.02,2)</f>
        <v>91304.68</v>
      </c>
      <c r="I20" s="20">
        <f>ROUND($B20*0.03,2)+0.01</f>
        <v>136957.02000000002</v>
      </c>
      <c r="J20" s="7">
        <f>ROUND($B20*0.005,2)</f>
        <v>22826.17</v>
      </c>
      <c r="K20" s="7">
        <v>34.26</v>
      </c>
      <c r="L20" s="20">
        <f>ROUND((($B20*0.22)+$K20)*0.76,2)-0.01</f>
        <v>763333.11</v>
      </c>
      <c r="M20" s="7">
        <f>ROUND((($B20*0.22)+$K20)*0.04,2)</f>
        <v>40175.43</v>
      </c>
      <c r="N20" s="7">
        <f>ROUND((($B20*0.22)+$K20)*0.1,2)+0.09</f>
        <v>100438.66</v>
      </c>
      <c r="O20" s="7">
        <f>ROUND((($B20*0.22)+$K20)*0.1,2)-0.29</f>
        <v>100438.28000000001</v>
      </c>
    </row>
    <row r="22" spans="1:15" ht="15" customHeight="1" thickBot="1" x14ac:dyDescent="0.3">
      <c r="B22" s="8">
        <f t="shared" ref="B22:O22" si="5">SUM(B9:B21)</f>
        <v>45081930.5</v>
      </c>
      <c r="C22" s="8">
        <f t="shared" si="5"/>
        <v>15778675.73</v>
      </c>
      <c r="D22" s="8">
        <f t="shared" si="5"/>
        <v>1352457.99</v>
      </c>
      <c r="E22" s="8">
        <f t="shared" si="5"/>
        <v>202868.71999999997</v>
      </c>
      <c r="F22" s="8">
        <f t="shared" si="5"/>
        <v>1014343.4400000001</v>
      </c>
      <c r="G22" s="8">
        <f t="shared" si="5"/>
        <v>811474.77999999991</v>
      </c>
      <c r="H22" s="8">
        <f t="shared" si="5"/>
        <v>901638.65999999992</v>
      </c>
      <c r="I22" s="8">
        <f t="shared" si="5"/>
        <v>1352457.99</v>
      </c>
      <c r="J22" s="8">
        <f t="shared" si="5"/>
        <v>225409.66000000003</v>
      </c>
      <c r="K22" s="8">
        <f t="shared" si="5"/>
        <v>834.1</v>
      </c>
      <c r="L22" s="8">
        <f t="shared" si="5"/>
        <v>7538332.4700000007</v>
      </c>
      <c r="M22" s="8">
        <f t="shared" si="5"/>
        <v>396754.35</v>
      </c>
      <c r="N22" s="8">
        <f t="shared" si="5"/>
        <v>991885.94</v>
      </c>
      <c r="O22" s="8">
        <f t="shared" si="5"/>
        <v>991885.63000000012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N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2020-09-09T18:55:45Z</cp:lastPrinted>
  <dcterms:created xsi:type="dcterms:W3CDTF">2017-06-26T17:33:37Z</dcterms:created>
  <dcterms:modified xsi:type="dcterms:W3CDTF">2021-07-09T15:40:09Z</dcterms:modified>
</cp:coreProperties>
</file>